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295" windowHeight="5580"/>
  </bookViews>
  <sheets>
    <sheet name="Tabela Nr 1" sheetId="63" r:id="rId1"/>
    <sheet name="Tabela Nr 2" sheetId="53" r:id="rId2"/>
    <sheet name="Tabela Nr 3" sheetId="56" r:id="rId3"/>
    <sheet name="Tabela Nr 4" sheetId="57" r:id="rId4"/>
    <sheet name="Załącznik Nr 1" sheetId="37" r:id="rId5"/>
    <sheet name="Załącznik Nr 2" sheetId="54" r:id="rId6"/>
    <sheet name="Załącznik Nr 3" sheetId="55" r:id="rId7"/>
    <sheet name="Załącznik Nr 4" sheetId="40" r:id="rId8"/>
    <sheet name="Załącznik Nr 5" sheetId="41" r:id="rId9"/>
    <sheet name="Załącznik Nr 6" sheetId="42" r:id="rId10"/>
    <sheet name="Załącznik Nr 7" sheetId="43" r:id="rId11"/>
    <sheet name="Zał Nr 8" sheetId="58" r:id="rId12"/>
    <sheet name=" Zał Nr 9 " sheetId="59" r:id="rId13"/>
    <sheet name="Zał Nr 10 " sheetId="60" r:id="rId14"/>
    <sheet name="Zał Nr 11" sheetId="61" r:id="rId15"/>
    <sheet name="Zał Nr 12" sheetId="62" r:id="rId16"/>
    <sheet name="Zał Nr 13 adm.rząd.doch." sheetId="47" r:id="rId17"/>
    <sheet name="Zał Nr 13 adm.rzad.wyd." sheetId="48" r:id="rId18"/>
    <sheet name="adm.rząd. dofin." sheetId="49" r:id="rId19"/>
    <sheet name="Załącznik Nr 14" sheetId="50" r:id="rId20"/>
    <sheet name="Załącznik Nr 15" sheetId="44" r:id="rId21"/>
  </sheets>
  <externalReferences>
    <externalReference r:id="rId22"/>
  </externalReferences>
  <definedNames>
    <definedName name="_xlnm.Print_Area" localSheetId="12">' Zał Nr 9 '!$A$1:$G$14</definedName>
    <definedName name="_xlnm.Print_Area" localSheetId="0">'Tabela Nr 1'!$A$1:$E$300</definedName>
    <definedName name="_xlnm.Print_Area" localSheetId="1">'Tabela Nr 2'!$A$1:$F$1750</definedName>
    <definedName name="_xlnm.Print_Area" localSheetId="2">'Tabela Nr 3'!$A$1:$J$91</definedName>
    <definedName name="_xlnm.Print_Area" localSheetId="3">'Tabela Nr 4'!$A$1:$J$823</definedName>
    <definedName name="_xlnm.Print_Area" localSheetId="13">'Zał Nr 10 '!$A$1:$G$21</definedName>
    <definedName name="_xlnm.Print_Area" localSheetId="14">'Zał Nr 11'!$A$1:$G$24</definedName>
    <definedName name="_xlnm.Print_Area" localSheetId="15">'Zał Nr 12'!$A$1:$G$10</definedName>
    <definedName name="_xlnm.Print_Area" localSheetId="17">'Zał Nr 13 adm.rzad.wyd.'!$A$1:$L$107</definedName>
    <definedName name="_xlnm.Print_Area" localSheetId="16">'Zał Nr 13 adm.rząd.doch.'!$A$1:$E$47</definedName>
    <definedName name="_xlnm.Print_Area" localSheetId="11">'Zał Nr 8'!$A$1:$G$9</definedName>
    <definedName name="_xlnm.Print_Area" localSheetId="4">'Załącznik Nr 1'!$A$1:$F$51</definedName>
    <definedName name="_xlnm.Print_Area" localSheetId="19">'Załącznik Nr 14'!$A$1:$G$25</definedName>
    <definedName name="_xlnm.Print_Area" localSheetId="20">'Załącznik Nr 15'!$A$1:$D$24</definedName>
    <definedName name="_xlnm.Print_Area" localSheetId="5">'Załącznik Nr 2'!$A$1:$I$28</definedName>
    <definedName name="_xlnm.Print_Area" localSheetId="6">'Załącznik Nr 3'!$A$1:$G$19</definedName>
    <definedName name="_xlnm.Print_Area" localSheetId="7">'Załącznik Nr 4'!$A$1:$F$6</definedName>
    <definedName name="_xlnm.Print_Area" localSheetId="8">'Załącznik Nr 5'!$A$1:$I$16</definedName>
    <definedName name="_xlnm.Print_Area" localSheetId="9">'Załącznik Nr 6'!$A$1:$I$9</definedName>
    <definedName name="_xlnm.Print_Area" localSheetId="10">'Załącznik Nr 7'!$A$1:$K$18</definedName>
    <definedName name="_xlnm.Print_Titles" localSheetId="1">'Tabela Nr 2'!$4:$5</definedName>
    <definedName name="_xlnm.Print_Titles" localSheetId="2">'Tabela Nr 3'!$5:$6</definedName>
    <definedName name="_xlnm.Print_Titles" localSheetId="3">'Tabela Nr 4'!$4:$5</definedName>
    <definedName name="_xlnm.Print_Titles" localSheetId="17">'Zał Nr 13 adm.rzad.wyd.'!$1:$5</definedName>
    <definedName name="_xlnm.Print_Titles" localSheetId="8">'Załącznik Nr 5'!$5:$7</definedName>
  </definedNames>
  <calcPr calcId="152511"/>
</workbook>
</file>

<file path=xl/calcChain.xml><?xml version="1.0" encoding="utf-8"?>
<calcChain xmlns="http://schemas.openxmlformats.org/spreadsheetml/2006/main">
  <c r="C11" i="49" l="1"/>
  <c r="F314" i="53" l="1"/>
  <c r="F292" i="53"/>
  <c r="E294" i="63" l="1"/>
  <c r="E293" i="63" s="1"/>
  <c r="E292" i="63" s="1"/>
  <c r="E288" i="63"/>
  <c r="E287" i="63" s="1"/>
  <c r="E286" i="63" s="1"/>
  <c r="E283" i="63"/>
  <c r="E282" i="63"/>
  <c r="E279" i="63"/>
  <c r="E278" i="63" s="1"/>
  <c r="E273" i="63" s="1"/>
  <c r="E275" i="63"/>
  <c r="E274" i="63"/>
  <c r="E266" i="63"/>
  <c r="E265" i="63"/>
  <c r="E262" i="63"/>
  <c r="E261" i="63"/>
  <c r="E257" i="63"/>
  <c r="E256" i="63"/>
  <c r="E253" i="63"/>
  <c r="E252" i="63" s="1"/>
  <c r="E248" i="63"/>
  <c r="E247" i="63"/>
  <c r="E243" i="63"/>
  <c r="E242" i="63" s="1"/>
  <c r="E239" i="63"/>
  <c r="E238" i="63"/>
  <c r="E234" i="63"/>
  <c r="E233" i="63" s="1"/>
  <c r="E228" i="63"/>
  <c r="E227" i="63" s="1"/>
  <c r="E224" i="63"/>
  <c r="E223" i="63"/>
  <c r="E220" i="63"/>
  <c r="E219" i="63" s="1"/>
  <c r="E215" i="63"/>
  <c r="E212" i="63"/>
  <c r="E211" i="63" s="1"/>
  <c r="E208" i="63"/>
  <c r="E205" i="63" s="1"/>
  <c r="E206" i="63"/>
  <c r="E202" i="63"/>
  <c r="E201" i="63"/>
  <c r="E198" i="63"/>
  <c r="E196" i="63"/>
  <c r="E195" i="63" s="1"/>
  <c r="E192" i="63"/>
  <c r="E191" i="63"/>
  <c r="E188" i="63"/>
  <c r="E187" i="63" s="1"/>
  <c r="E184" i="63"/>
  <c r="E183" i="63"/>
  <c r="E180" i="63"/>
  <c r="E179" i="63" s="1"/>
  <c r="E174" i="63"/>
  <c r="E173" i="63"/>
  <c r="E169" i="63"/>
  <c r="E168" i="63"/>
  <c r="E164" i="63"/>
  <c r="E163" i="63" s="1"/>
  <c r="E162" i="63" s="1"/>
  <c r="E157" i="63"/>
  <c r="E152" i="63"/>
  <c r="E151" i="63" s="1"/>
  <c r="E147" i="63"/>
  <c r="E146" i="63" s="1"/>
  <c r="E140" i="63"/>
  <c r="E139" i="63" s="1"/>
  <c r="E136" i="63"/>
  <c r="E135" i="63"/>
  <c r="E132" i="63"/>
  <c r="E130" i="63"/>
  <c r="E129" i="63"/>
  <c r="E128" i="63"/>
  <c r="E126" i="63"/>
  <c r="E124" i="63"/>
  <c r="E123" i="63"/>
  <c r="E118" i="63"/>
  <c r="E117" i="63" s="1"/>
  <c r="E113" i="63"/>
  <c r="E112" i="63"/>
  <c r="E108" i="63"/>
  <c r="E107" i="63" s="1"/>
  <c r="E103" i="63"/>
  <c r="E100" i="63"/>
  <c r="E95" i="63"/>
  <c r="E93" i="63"/>
  <c r="E92" i="63" s="1"/>
  <c r="E87" i="63"/>
  <c r="E86" i="63" s="1"/>
  <c r="E82" i="63"/>
  <c r="E78" i="63"/>
  <c r="E74" i="63"/>
  <c r="E73" i="63" s="1"/>
  <c r="E70" i="63"/>
  <c r="E69" i="63"/>
  <c r="E67" i="63"/>
  <c r="E63" i="63" s="1"/>
  <c r="E62" i="63" s="1"/>
  <c r="E58" i="63"/>
  <c r="E57" i="63"/>
  <c r="E56" i="63" s="1"/>
  <c r="E53" i="63"/>
  <c r="E49" i="63" s="1"/>
  <c r="E48" i="63" s="1"/>
  <c r="E50" i="63"/>
  <c r="E45" i="63"/>
  <c r="E44" i="63"/>
  <c r="E41" i="63"/>
  <c r="E39" i="63" s="1"/>
  <c r="E36" i="63"/>
  <c r="E35" i="63"/>
  <c r="E31" i="63"/>
  <c r="E30" i="63" s="1"/>
  <c r="E26" i="63"/>
  <c r="E23" i="63"/>
  <c r="E17" i="63"/>
  <c r="E16" i="63"/>
  <c r="E12" i="63"/>
  <c r="E11" i="63"/>
  <c r="E237" i="63" l="1"/>
  <c r="E77" i="63"/>
  <c r="E61" i="63" s="1"/>
  <c r="E134" i="63"/>
  <c r="E167" i="63"/>
  <c r="E260" i="63"/>
  <c r="E299" i="63"/>
  <c r="E300" i="63"/>
  <c r="E99" i="63"/>
  <c r="E98" i="63" s="1"/>
  <c r="E246" i="63"/>
  <c r="E22" i="63"/>
  <c r="E218" i="63"/>
  <c r="E178" i="63"/>
  <c r="E10" i="63"/>
  <c r="E106" i="63"/>
  <c r="E297" i="63" l="1"/>
  <c r="F10" i="62"/>
  <c r="E10" i="62"/>
  <c r="D9" i="62"/>
  <c r="D10" i="62" s="1"/>
  <c r="D8" i="62"/>
  <c r="D7" i="61"/>
  <c r="D14" i="61" s="1"/>
  <c r="D8" i="61"/>
  <c r="D9" i="61"/>
  <c r="D10" i="61"/>
  <c r="D11" i="61"/>
  <c r="D12" i="61"/>
  <c r="D13" i="61"/>
  <c r="E14" i="61"/>
  <c r="F14" i="61"/>
  <c r="D19" i="61"/>
  <c r="D20" i="61"/>
  <c r="D21" i="61"/>
  <c r="D24" i="61" s="1"/>
  <c r="D22" i="61"/>
  <c r="D23" i="61"/>
  <c r="E24" i="61"/>
  <c r="F24" i="61"/>
  <c r="F21" i="60"/>
  <c r="E21" i="60"/>
  <c r="D20" i="60"/>
  <c r="D19" i="60"/>
  <c r="D21" i="60" s="1"/>
  <c r="D18" i="60"/>
  <c r="F13" i="60"/>
  <c r="E13" i="60"/>
  <c r="D12" i="60"/>
  <c r="D11" i="60"/>
  <c r="D10" i="60"/>
  <c r="D9" i="60"/>
  <c r="D13" i="60" s="1"/>
  <c r="D8" i="60"/>
  <c r="D7" i="60"/>
  <c r="F14" i="59"/>
  <c r="E14" i="59"/>
  <c r="D13" i="59"/>
  <c r="D14" i="59" s="1"/>
  <c r="F8" i="59"/>
  <c r="E8" i="59"/>
  <c r="D7" i="59"/>
  <c r="D8" i="59" s="1"/>
  <c r="F9" i="58"/>
  <c r="E9" i="58"/>
  <c r="D8" i="58"/>
  <c r="D9" i="58" s="1"/>
  <c r="F822" i="57"/>
  <c r="F820" i="57" s="1"/>
  <c r="F821" i="57"/>
  <c r="J820" i="57"/>
  <c r="I820" i="57"/>
  <c r="H820" i="57"/>
  <c r="H808" i="57" s="1"/>
  <c r="H783" i="57" s="1"/>
  <c r="G820" i="57"/>
  <c r="F819" i="57"/>
  <c r="F818" i="57"/>
  <c r="F817" i="57" s="1"/>
  <c r="J817" i="57"/>
  <c r="I817" i="57"/>
  <c r="H817" i="57"/>
  <c r="G817" i="57"/>
  <c r="F816" i="57"/>
  <c r="F815" i="57"/>
  <c r="F814" i="57"/>
  <c r="F813" i="57" s="1"/>
  <c r="J813" i="57"/>
  <c r="I813" i="57"/>
  <c r="H813" i="57"/>
  <c r="G813" i="57"/>
  <c r="F812" i="57"/>
  <c r="F811" i="57"/>
  <c r="J810" i="57"/>
  <c r="J809" i="57" s="1"/>
  <c r="J808" i="57" s="1"/>
  <c r="I810" i="57"/>
  <c r="H810" i="57"/>
  <c r="H809" i="57" s="1"/>
  <c r="G810" i="57"/>
  <c r="F810" i="57"/>
  <c r="I809" i="57"/>
  <c r="I808" i="57" s="1"/>
  <c r="F807" i="57"/>
  <c r="F806" i="57"/>
  <c r="F805" i="57" s="1"/>
  <c r="J805" i="57"/>
  <c r="I805" i="57"/>
  <c r="H805" i="57"/>
  <c r="G805" i="57"/>
  <c r="F804" i="57"/>
  <c r="F803" i="57"/>
  <c r="F802" i="57"/>
  <c r="F801" i="57"/>
  <c r="F800" i="57"/>
  <c r="F799" i="57"/>
  <c r="F798" i="57"/>
  <c r="F797" i="57"/>
  <c r="F796" i="57"/>
  <c r="F795" i="57"/>
  <c r="F794" i="57"/>
  <c r="J793" i="57"/>
  <c r="I793" i="57"/>
  <c r="I786" i="57" s="1"/>
  <c r="I785" i="57" s="1"/>
  <c r="I783" i="57" s="1"/>
  <c r="H793" i="57"/>
  <c r="G793" i="57"/>
  <c r="F792" i="57"/>
  <c r="F791" i="57"/>
  <c r="F790" i="57"/>
  <c r="F789" i="57"/>
  <c r="F788" i="57"/>
  <c r="F787" i="57" s="1"/>
  <c r="J787" i="57"/>
  <c r="I787" i="57"/>
  <c r="H787" i="57"/>
  <c r="G787" i="57"/>
  <c r="G786" i="57" s="1"/>
  <c r="G785" i="57" s="1"/>
  <c r="J786" i="57"/>
  <c r="H786" i="57"/>
  <c r="H785" i="57" s="1"/>
  <c r="J785" i="57"/>
  <c r="J783" i="57" s="1"/>
  <c r="F782" i="57"/>
  <c r="F781" i="57"/>
  <c r="F780" i="57" s="1"/>
  <c r="J780" i="57"/>
  <c r="I780" i="57"/>
  <c r="H780" i="57"/>
  <c r="G780" i="57"/>
  <c r="F779" i="57"/>
  <c r="F778" i="57"/>
  <c r="F777" i="57"/>
  <c r="F776" i="57"/>
  <c r="F775" i="57"/>
  <c r="F774" i="57"/>
  <c r="F773" i="57"/>
  <c r="F772" i="57"/>
  <c r="F771" i="57"/>
  <c r="F770" i="57"/>
  <c r="F769" i="57"/>
  <c r="F768" i="57"/>
  <c r="F767" i="57"/>
  <c r="F766" i="57"/>
  <c r="F765" i="57"/>
  <c r="F764" i="57"/>
  <c r="F763" i="57"/>
  <c r="F762" i="57"/>
  <c r="F761" i="57"/>
  <c r="F760" i="57"/>
  <c r="F759" i="57"/>
  <c r="F758" i="57"/>
  <c r="F757" i="57"/>
  <c r="F756" i="57"/>
  <c r="F755" i="57"/>
  <c r="F754" i="57"/>
  <c r="F753" i="57"/>
  <c r="F752" i="57"/>
  <c r="J751" i="57"/>
  <c r="J739" i="57" s="1"/>
  <c r="J738" i="57" s="1"/>
  <c r="I751" i="57"/>
  <c r="H751" i="57"/>
  <c r="G751" i="57"/>
  <c r="F751" i="57"/>
  <c r="F750" i="57"/>
  <c r="F749" i="57"/>
  <c r="F748" i="57"/>
  <c r="F747" i="57"/>
  <c r="F746" i="57"/>
  <c r="F745" i="57"/>
  <c r="F744" i="57"/>
  <c r="F743" i="57"/>
  <c r="F742" i="57"/>
  <c r="F741" i="57"/>
  <c r="J740" i="57"/>
  <c r="I740" i="57"/>
  <c r="I739" i="57" s="1"/>
  <c r="H740" i="57"/>
  <c r="G740" i="57"/>
  <c r="H739" i="57"/>
  <c r="H738" i="57" s="1"/>
  <c r="G739" i="57"/>
  <c r="G738" i="57" s="1"/>
  <c r="F737" i="57"/>
  <c r="F736" i="57"/>
  <c r="J735" i="57"/>
  <c r="I735" i="57"/>
  <c r="H735" i="57"/>
  <c r="G735" i="57"/>
  <c r="F735" i="57"/>
  <c r="F734" i="57"/>
  <c r="F733" i="57"/>
  <c r="F732" i="57"/>
  <c r="F731" i="57"/>
  <c r="F730" i="57"/>
  <c r="F729" i="57"/>
  <c r="F728" i="57"/>
  <c r="F727" i="57"/>
  <c r="F726" i="57"/>
  <c r="F725" i="57"/>
  <c r="F724" i="57"/>
  <c r="F723" i="57"/>
  <c r="F722" i="57"/>
  <c r="F721" i="57"/>
  <c r="F720" i="57"/>
  <c r="F719" i="57"/>
  <c r="F718" i="57"/>
  <c r="F717" i="57"/>
  <c r="F716" i="57"/>
  <c r="F715" i="57"/>
  <c r="F714" i="57"/>
  <c r="F713" i="57"/>
  <c r="F712" i="57"/>
  <c r="F711" i="57"/>
  <c r="F710" i="57" s="1"/>
  <c r="J710" i="57"/>
  <c r="I710" i="57"/>
  <c r="H710" i="57"/>
  <c r="G710" i="57"/>
  <c r="G698" i="57" s="1"/>
  <c r="G697" i="57" s="1"/>
  <c r="F709" i="57"/>
  <c r="F708" i="57"/>
  <c r="F707" i="57"/>
  <c r="F706" i="57"/>
  <c r="F705" i="57"/>
  <c r="F704" i="57"/>
  <c r="F703" i="57"/>
  <c r="F702" i="57"/>
  <c r="F701" i="57"/>
  <c r="F699" i="57" s="1"/>
  <c r="F698" i="57" s="1"/>
  <c r="F697" i="57" s="1"/>
  <c r="F700" i="57"/>
  <c r="J699" i="57"/>
  <c r="J698" i="57" s="1"/>
  <c r="I699" i="57"/>
  <c r="H699" i="57"/>
  <c r="H698" i="57" s="1"/>
  <c r="H697" i="57" s="1"/>
  <c r="H695" i="57" s="1"/>
  <c r="G699" i="57"/>
  <c r="I698" i="57"/>
  <c r="I697" i="57" s="1"/>
  <c r="J697" i="57"/>
  <c r="J695" i="57"/>
  <c r="F694" i="57"/>
  <c r="F693" i="57"/>
  <c r="J692" i="57"/>
  <c r="I692" i="57"/>
  <c r="H692" i="57"/>
  <c r="G692" i="57"/>
  <c r="F692" i="57"/>
  <c r="F691" i="57"/>
  <c r="F690" i="57"/>
  <c r="F689" i="57"/>
  <c r="F688" i="57"/>
  <c r="F687" i="57"/>
  <c r="F686" i="57"/>
  <c r="F685" i="57"/>
  <c r="F684" i="57"/>
  <c r="F683" i="57"/>
  <c r="F682" i="57"/>
  <c r="F681" i="57"/>
  <c r="F680" i="57"/>
  <c r="F679" i="57"/>
  <c r="F678" i="57"/>
  <c r="F677" i="57"/>
  <c r="F676" i="57"/>
  <c r="F675" i="57"/>
  <c r="F674" i="57"/>
  <c r="F673" i="57"/>
  <c r="F672" i="57"/>
  <c r="F671" i="57" s="1"/>
  <c r="F656" i="57" s="1"/>
  <c r="F655" i="57" s="1"/>
  <c r="J671" i="57"/>
  <c r="I671" i="57"/>
  <c r="H671" i="57"/>
  <c r="G671" i="57"/>
  <c r="F670" i="57"/>
  <c r="F669" i="57"/>
  <c r="F668" i="57"/>
  <c r="F667" i="57"/>
  <c r="F666" i="57"/>
  <c r="F665" i="57"/>
  <c r="F664" i="57"/>
  <c r="F663" i="57"/>
  <c r="F662" i="57"/>
  <c r="F661" i="57"/>
  <c r="J660" i="57"/>
  <c r="J656" i="57" s="1"/>
  <c r="I660" i="57"/>
  <c r="H660" i="57"/>
  <c r="H656" i="57" s="1"/>
  <c r="G660" i="57"/>
  <c r="F660" i="57"/>
  <c r="F659" i="57"/>
  <c r="F658" i="57"/>
  <c r="F657" i="57" s="1"/>
  <c r="J657" i="57"/>
  <c r="I657" i="57"/>
  <c r="H657" i="57"/>
  <c r="G657" i="57"/>
  <c r="I656" i="57"/>
  <c r="I655" i="57" s="1"/>
  <c r="F654" i="57"/>
  <c r="F652" i="57" s="1"/>
  <c r="F653" i="57"/>
  <c r="J652" i="57"/>
  <c r="I652" i="57"/>
  <c r="H652" i="57"/>
  <c r="G652" i="57"/>
  <c r="F651" i="57"/>
  <c r="F650" i="57"/>
  <c r="F649" i="57"/>
  <c r="F648" i="57"/>
  <c r="F647" i="57"/>
  <c r="F646" i="57"/>
  <c r="F645" i="57"/>
  <c r="F644" i="57"/>
  <c r="F643" i="57"/>
  <c r="F642" i="57"/>
  <c r="F641" i="57"/>
  <c r="F640" i="57"/>
  <c r="F639" i="57"/>
  <c r="F638" i="57"/>
  <c r="F637" i="57"/>
  <c r="F636" i="57"/>
  <c r="F635" i="57"/>
  <c r="F634" i="57"/>
  <c r="F633" i="57"/>
  <c r="F632" i="57"/>
  <c r="F631" i="57"/>
  <c r="F630" i="57"/>
  <c r="F627" i="57" s="1"/>
  <c r="F629" i="57"/>
  <c r="F628" i="57"/>
  <c r="J627" i="57"/>
  <c r="I627" i="57"/>
  <c r="H627" i="57"/>
  <c r="G627" i="57"/>
  <c r="F626" i="57"/>
  <c r="F625" i="57"/>
  <c r="F624" i="57"/>
  <c r="F623" i="57"/>
  <c r="F622" i="57"/>
  <c r="F621" i="57"/>
  <c r="F620" i="57"/>
  <c r="F619" i="57"/>
  <c r="F618" i="57"/>
  <c r="F616" i="57" s="1"/>
  <c r="F617" i="57"/>
  <c r="J616" i="57"/>
  <c r="I616" i="57"/>
  <c r="H616" i="57"/>
  <c r="G616" i="57"/>
  <c r="F615" i="57"/>
  <c r="F614" i="57"/>
  <c r="F613" i="57" s="1"/>
  <c r="J613" i="57"/>
  <c r="I613" i="57"/>
  <c r="H613" i="57"/>
  <c r="G613" i="57"/>
  <c r="G612" i="57" s="1"/>
  <c r="J612" i="57"/>
  <c r="H612" i="57"/>
  <c r="H611" i="57" s="1"/>
  <c r="J611" i="57"/>
  <c r="G611" i="57"/>
  <c r="F610" i="57"/>
  <c r="F608" i="57"/>
  <c r="J607" i="57"/>
  <c r="I607" i="57"/>
  <c r="H607" i="57"/>
  <c r="G607" i="57"/>
  <c r="F607" i="57"/>
  <c r="F606" i="57"/>
  <c r="F605" i="57"/>
  <c r="F604" i="57"/>
  <c r="F603" i="57"/>
  <c r="J602" i="57"/>
  <c r="I602" i="57"/>
  <c r="I592" i="57" s="1"/>
  <c r="H602" i="57"/>
  <c r="G602" i="57"/>
  <c r="F602" i="57"/>
  <c r="F601" i="57"/>
  <c r="F600" i="57"/>
  <c r="F599" i="57"/>
  <c r="F598" i="57"/>
  <c r="F597" i="57" s="1"/>
  <c r="J597" i="57"/>
  <c r="I597" i="57"/>
  <c r="H597" i="57"/>
  <c r="G597" i="57"/>
  <c r="F596" i="57"/>
  <c r="F595" i="57"/>
  <c r="F594" i="57"/>
  <c r="J593" i="57"/>
  <c r="I593" i="57"/>
  <c r="H593" i="57"/>
  <c r="H592" i="57" s="1"/>
  <c r="H591" i="57" s="1"/>
  <c r="G593" i="57"/>
  <c r="G592" i="57"/>
  <c r="G591" i="57" s="1"/>
  <c r="F590" i="57"/>
  <c r="F589" i="57"/>
  <c r="J588" i="57"/>
  <c r="I588" i="57"/>
  <c r="I576" i="57" s="1"/>
  <c r="H588" i="57"/>
  <c r="G588" i="57"/>
  <c r="F587" i="57"/>
  <c r="F586" i="57"/>
  <c r="F585" i="57"/>
  <c r="F584" i="57"/>
  <c r="F583" i="57"/>
  <c r="F582" i="57"/>
  <c r="F581" i="57"/>
  <c r="F580" i="57"/>
  <c r="F579" i="57"/>
  <c r="F578" i="57"/>
  <c r="J577" i="57"/>
  <c r="J576" i="57" s="1"/>
  <c r="I577" i="57"/>
  <c r="H577" i="57"/>
  <c r="G577" i="57"/>
  <c r="G576" i="57" s="1"/>
  <c r="F577" i="57"/>
  <c r="H576" i="57"/>
  <c r="F575" i="57"/>
  <c r="F574" i="57"/>
  <c r="F573" i="57"/>
  <c r="J572" i="57"/>
  <c r="I572" i="57"/>
  <c r="I563" i="57" s="1"/>
  <c r="H572" i="57"/>
  <c r="G572" i="57"/>
  <c r="F571" i="57"/>
  <c r="F570" i="57"/>
  <c r="F569" i="57"/>
  <c r="F568" i="57"/>
  <c r="F567" i="57"/>
  <c r="F566" i="57"/>
  <c r="F565" i="57"/>
  <c r="J564" i="57"/>
  <c r="I564" i="57"/>
  <c r="H564" i="57"/>
  <c r="H563" i="57" s="1"/>
  <c r="G564" i="57"/>
  <c r="J563" i="57"/>
  <c r="F560" i="57"/>
  <c r="F559" i="57"/>
  <c r="J558" i="57"/>
  <c r="J550" i="57" s="1"/>
  <c r="I558" i="57"/>
  <c r="H558" i="57"/>
  <c r="G558" i="57"/>
  <c r="F558" i="57"/>
  <c r="F557" i="57"/>
  <c r="F556" i="57"/>
  <c r="F555" i="57" s="1"/>
  <c r="J555" i="57"/>
  <c r="I555" i="57"/>
  <c r="I551" i="57" s="1"/>
  <c r="I550" i="57" s="1"/>
  <c r="H555" i="57"/>
  <c r="G555" i="57"/>
  <c r="F554" i="57"/>
  <c r="F553" i="57"/>
  <c r="F552" i="57" s="1"/>
  <c r="F551" i="57" s="1"/>
  <c r="J552" i="57"/>
  <c r="J551" i="57" s="1"/>
  <c r="I552" i="57"/>
  <c r="H552" i="57"/>
  <c r="H551" i="57" s="1"/>
  <c r="H550" i="57" s="1"/>
  <c r="H535" i="57" s="1"/>
  <c r="G552" i="57"/>
  <c r="G551" i="57" s="1"/>
  <c r="G550" i="57" s="1"/>
  <c r="F550" i="57"/>
  <c r="F549" i="57"/>
  <c r="F548" i="57"/>
  <c r="F547" i="57"/>
  <c r="F546" i="57"/>
  <c r="F545" i="57" s="1"/>
  <c r="J545" i="57"/>
  <c r="I545" i="57"/>
  <c r="I537" i="57" s="1"/>
  <c r="H545" i="57"/>
  <c r="G545" i="57"/>
  <c r="F544" i="57"/>
  <c r="F542" i="57" s="1"/>
  <c r="F543" i="57"/>
  <c r="J542" i="57"/>
  <c r="I542" i="57"/>
  <c r="H542" i="57"/>
  <c r="H538" i="57" s="1"/>
  <c r="H537" i="57" s="1"/>
  <c r="G542" i="57"/>
  <c r="F541" i="57"/>
  <c r="F540" i="57"/>
  <c r="F539" i="57" s="1"/>
  <c r="F538" i="57" s="1"/>
  <c r="F537" i="57" s="1"/>
  <c r="J539" i="57"/>
  <c r="I539" i="57"/>
  <c r="H539" i="57"/>
  <c r="G539" i="57"/>
  <c r="G538" i="57" s="1"/>
  <c r="G537" i="57" s="1"/>
  <c r="G535" i="57" s="1"/>
  <c r="J538" i="57"/>
  <c r="I538" i="57"/>
  <c r="J537" i="57"/>
  <c r="J535" i="57" s="1"/>
  <c r="F535" i="57"/>
  <c r="F534" i="57"/>
  <c r="F533" i="57"/>
  <c r="F532" i="57"/>
  <c r="F531" i="57"/>
  <c r="F530" i="57"/>
  <c r="F529" i="57"/>
  <c r="J528" i="57"/>
  <c r="I528" i="57"/>
  <c r="I520" i="57" s="1"/>
  <c r="H528" i="57"/>
  <c r="G528" i="57"/>
  <c r="F527" i="57"/>
  <c r="F525" i="57" s="1"/>
  <c r="F526" i="57"/>
  <c r="J525" i="57"/>
  <c r="I525" i="57"/>
  <c r="H525" i="57"/>
  <c r="H521" i="57" s="1"/>
  <c r="H520" i="57" s="1"/>
  <c r="G525" i="57"/>
  <c r="F524" i="57"/>
  <c r="F523" i="57"/>
  <c r="F522" i="57" s="1"/>
  <c r="F521" i="57" s="1"/>
  <c r="J522" i="57"/>
  <c r="I522" i="57"/>
  <c r="H522" i="57"/>
  <c r="G522" i="57"/>
  <c r="G521" i="57" s="1"/>
  <c r="G520" i="57" s="1"/>
  <c r="J521" i="57"/>
  <c r="J520" i="57" s="1"/>
  <c r="I521" i="57"/>
  <c r="F519" i="57"/>
  <c r="F518" i="57"/>
  <c r="F517" i="57"/>
  <c r="F516" i="57"/>
  <c r="F515" i="57"/>
  <c r="F514" i="57" s="1"/>
  <c r="J514" i="57"/>
  <c r="I514" i="57"/>
  <c r="H514" i="57"/>
  <c r="G514" i="57"/>
  <c r="F513" i="57"/>
  <c r="F511" i="57" s="1"/>
  <c r="F512" i="57"/>
  <c r="J511" i="57"/>
  <c r="I511" i="57"/>
  <c r="H511" i="57"/>
  <c r="H507" i="57" s="1"/>
  <c r="G511" i="57"/>
  <c r="F510" i="57"/>
  <c r="F509" i="57"/>
  <c r="F508" i="57" s="1"/>
  <c r="F507" i="57" s="1"/>
  <c r="F506" i="57" s="1"/>
  <c r="J508" i="57"/>
  <c r="I508" i="57"/>
  <c r="I507" i="57" s="1"/>
  <c r="H508" i="57"/>
  <c r="G508" i="57"/>
  <c r="G507" i="57" s="1"/>
  <c r="G506" i="57" s="1"/>
  <c r="J507" i="57"/>
  <c r="J506" i="57" s="1"/>
  <c r="I506" i="57"/>
  <c r="H506" i="57"/>
  <c r="F505" i="57"/>
  <c r="F504" i="57"/>
  <c r="F503" i="57"/>
  <c r="F502" i="57" s="1"/>
  <c r="J502" i="57"/>
  <c r="I502" i="57"/>
  <c r="H502" i="57"/>
  <c r="G502" i="57"/>
  <c r="F501" i="57"/>
  <c r="F500" i="57"/>
  <c r="J499" i="57"/>
  <c r="J495" i="57" s="1"/>
  <c r="J494" i="57" s="1"/>
  <c r="I499" i="57"/>
  <c r="H499" i="57"/>
  <c r="G499" i="57"/>
  <c r="F499" i="57"/>
  <c r="F498" i="57"/>
  <c r="F497" i="57"/>
  <c r="F496" i="57" s="1"/>
  <c r="J496" i="57"/>
  <c r="I496" i="57"/>
  <c r="I495" i="57" s="1"/>
  <c r="I494" i="57" s="1"/>
  <c r="H496" i="57"/>
  <c r="G496" i="57"/>
  <c r="H495" i="57"/>
  <c r="G495" i="57"/>
  <c r="G494" i="57" s="1"/>
  <c r="H494" i="57"/>
  <c r="F493" i="57"/>
  <c r="F492" i="57"/>
  <c r="F491" i="57"/>
  <c r="F488" i="57" s="1"/>
  <c r="F490" i="57"/>
  <c r="F489" i="57"/>
  <c r="J488" i="57"/>
  <c r="I488" i="57"/>
  <c r="H488" i="57"/>
  <c r="G488" i="57"/>
  <c r="F487" i="57"/>
  <c r="F485" i="57" s="1"/>
  <c r="F486" i="57"/>
  <c r="J485" i="57"/>
  <c r="I485" i="57"/>
  <c r="I481" i="57" s="1"/>
  <c r="H485" i="57"/>
  <c r="G485" i="57"/>
  <c r="F484" i="57"/>
  <c r="F483" i="57"/>
  <c r="J482" i="57"/>
  <c r="I482" i="57"/>
  <c r="H482" i="57"/>
  <c r="G482" i="57"/>
  <c r="G481" i="57" s="1"/>
  <c r="J481" i="57"/>
  <c r="J480" i="57" s="1"/>
  <c r="H481" i="57"/>
  <c r="H480" i="57" s="1"/>
  <c r="G480" i="57"/>
  <c r="F479" i="57"/>
  <c r="F478" i="57"/>
  <c r="F477" i="57"/>
  <c r="F476" i="57"/>
  <c r="F475" i="57"/>
  <c r="F474" i="57" s="1"/>
  <c r="J474" i="57"/>
  <c r="I474" i="57"/>
  <c r="H474" i="57"/>
  <c r="G474" i="57"/>
  <c r="F473" i="57"/>
  <c r="F472" i="57"/>
  <c r="J471" i="57"/>
  <c r="I471" i="57"/>
  <c r="H471" i="57"/>
  <c r="G471" i="57"/>
  <c r="G467" i="57" s="1"/>
  <c r="F471" i="57"/>
  <c r="F470" i="57"/>
  <c r="F469" i="57"/>
  <c r="J468" i="57"/>
  <c r="I468" i="57"/>
  <c r="I467" i="57" s="1"/>
  <c r="I466" i="57" s="1"/>
  <c r="H468" i="57"/>
  <c r="G468" i="57"/>
  <c r="F468" i="57"/>
  <c r="J467" i="57"/>
  <c r="J466" i="57" s="1"/>
  <c r="H467" i="57"/>
  <c r="H466" i="57" s="1"/>
  <c r="F465" i="57"/>
  <c r="F464" i="57"/>
  <c r="F463" i="57"/>
  <c r="F462" i="57"/>
  <c r="F461" i="57"/>
  <c r="F460" i="57" s="1"/>
  <c r="J460" i="57"/>
  <c r="I460" i="57"/>
  <c r="H460" i="57"/>
  <c r="G460" i="57"/>
  <c r="F459" i="57"/>
  <c r="F457" i="57" s="1"/>
  <c r="F458" i="57"/>
  <c r="J457" i="57"/>
  <c r="J453" i="57" s="1"/>
  <c r="J452" i="57" s="1"/>
  <c r="I457" i="57"/>
  <c r="H457" i="57"/>
  <c r="H453" i="57" s="1"/>
  <c r="H452" i="57" s="1"/>
  <c r="G457" i="57"/>
  <c r="F456" i="57"/>
  <c r="F455" i="57"/>
  <c r="F454" i="57" s="1"/>
  <c r="F453" i="57" s="1"/>
  <c r="F452" i="57" s="1"/>
  <c r="J454" i="57"/>
  <c r="I454" i="57"/>
  <c r="I453" i="57" s="1"/>
  <c r="I452" i="57" s="1"/>
  <c r="H454" i="57"/>
  <c r="G454" i="57"/>
  <c r="G453" i="57" s="1"/>
  <c r="G452" i="57" s="1"/>
  <c r="F451" i="57"/>
  <c r="F450" i="57"/>
  <c r="F449" i="57"/>
  <c r="F448" i="57"/>
  <c r="F447" i="57"/>
  <c r="J446" i="57"/>
  <c r="I446" i="57"/>
  <c r="I438" i="57" s="1"/>
  <c r="H446" i="57"/>
  <c r="G446" i="57"/>
  <c r="F445" i="57"/>
  <c r="F444" i="57"/>
  <c r="F443" i="57" s="1"/>
  <c r="J443" i="57"/>
  <c r="I443" i="57"/>
  <c r="H443" i="57"/>
  <c r="H439" i="57" s="1"/>
  <c r="H438" i="57" s="1"/>
  <c r="G443" i="57"/>
  <c r="F442" i="57"/>
  <c r="F441" i="57"/>
  <c r="J440" i="57"/>
  <c r="J439" i="57" s="1"/>
  <c r="J438" i="57" s="1"/>
  <c r="I440" i="57"/>
  <c r="I439" i="57" s="1"/>
  <c r="H440" i="57"/>
  <c r="G440" i="57"/>
  <c r="F440" i="57"/>
  <c r="F437" i="57"/>
  <c r="F436" i="57"/>
  <c r="F435" i="57"/>
  <c r="J434" i="57"/>
  <c r="I434" i="57"/>
  <c r="H434" i="57"/>
  <c r="G434" i="57"/>
  <c r="F433" i="57"/>
  <c r="F431" i="57" s="1"/>
  <c r="F432" i="57"/>
  <c r="J431" i="57"/>
  <c r="J427" i="57" s="1"/>
  <c r="J426" i="57" s="1"/>
  <c r="I431" i="57"/>
  <c r="H431" i="57"/>
  <c r="H427" i="57" s="1"/>
  <c r="H426" i="57" s="1"/>
  <c r="G431" i="57"/>
  <c r="F430" i="57"/>
  <c r="F429" i="57"/>
  <c r="F428" i="57" s="1"/>
  <c r="J428" i="57"/>
  <c r="I428" i="57"/>
  <c r="I427" i="57" s="1"/>
  <c r="I426" i="57" s="1"/>
  <c r="H428" i="57"/>
  <c r="G428" i="57"/>
  <c r="G427" i="57" s="1"/>
  <c r="G426" i="57"/>
  <c r="F425" i="57"/>
  <c r="F424" i="57"/>
  <c r="F423" i="57"/>
  <c r="F422" i="57"/>
  <c r="F421" i="57"/>
  <c r="J420" i="57"/>
  <c r="I420" i="57"/>
  <c r="H420" i="57"/>
  <c r="G420" i="57"/>
  <c r="F420" i="57"/>
  <c r="F419" i="57"/>
  <c r="F418" i="57"/>
  <c r="J417" i="57"/>
  <c r="I417" i="57"/>
  <c r="I413" i="57" s="1"/>
  <c r="I412" i="57" s="1"/>
  <c r="H417" i="57"/>
  <c r="G417" i="57"/>
  <c r="F417" i="57"/>
  <c r="F416" i="57"/>
  <c r="F415" i="57"/>
  <c r="J414" i="57"/>
  <c r="I414" i="57"/>
  <c r="H414" i="57"/>
  <c r="G414" i="57"/>
  <c r="G413" i="57" s="1"/>
  <c r="J413" i="57"/>
  <c r="J412" i="57" s="1"/>
  <c r="H413" i="57"/>
  <c r="H412" i="57" s="1"/>
  <c r="G412" i="57"/>
  <c r="F411" i="57"/>
  <c r="F410" i="57"/>
  <c r="F409" i="57"/>
  <c r="F408" i="57"/>
  <c r="F407" i="57"/>
  <c r="J406" i="57"/>
  <c r="I406" i="57"/>
  <c r="I398" i="57" s="1"/>
  <c r="H406" i="57"/>
  <c r="G406" i="57"/>
  <c r="F405" i="57"/>
  <c r="F404" i="57"/>
  <c r="F403" i="57" s="1"/>
  <c r="J403" i="57"/>
  <c r="I403" i="57"/>
  <c r="H403" i="57"/>
  <c r="G403" i="57"/>
  <c r="F402" i="57"/>
  <c r="F401" i="57"/>
  <c r="F400" i="57" s="1"/>
  <c r="J400" i="57"/>
  <c r="J399" i="57" s="1"/>
  <c r="J398" i="57" s="1"/>
  <c r="I400" i="57"/>
  <c r="I399" i="57" s="1"/>
  <c r="H400" i="57"/>
  <c r="G400" i="57"/>
  <c r="H399" i="57"/>
  <c r="H398" i="57" s="1"/>
  <c r="G399" i="57"/>
  <c r="G398" i="57" s="1"/>
  <c r="F399" i="57"/>
  <c r="F397" i="57"/>
  <c r="F396" i="57"/>
  <c r="F395" i="57"/>
  <c r="F394" i="57"/>
  <c r="F393" i="57"/>
  <c r="F392" i="57" s="1"/>
  <c r="J392" i="57"/>
  <c r="I392" i="57"/>
  <c r="H392" i="57"/>
  <c r="G392" i="57"/>
  <c r="F391" i="57"/>
  <c r="F389" i="57" s="1"/>
  <c r="F390" i="57"/>
  <c r="J389" i="57"/>
  <c r="J385" i="57" s="1"/>
  <c r="I389" i="57"/>
  <c r="H389" i="57"/>
  <c r="H385" i="57" s="1"/>
  <c r="H384" i="57" s="1"/>
  <c r="G389" i="57"/>
  <c r="F388" i="57"/>
  <c r="F387" i="57"/>
  <c r="F386" i="57" s="1"/>
  <c r="J386" i="57"/>
  <c r="I386" i="57"/>
  <c r="H386" i="57"/>
  <c r="G386" i="57"/>
  <c r="G385" i="57" s="1"/>
  <c r="G384" i="57" s="1"/>
  <c r="I385" i="57"/>
  <c r="I384" i="57" s="1"/>
  <c r="J384" i="57"/>
  <c r="F383" i="57"/>
  <c r="F382" i="57"/>
  <c r="F381" i="57"/>
  <c r="F380" i="57"/>
  <c r="F379" i="57"/>
  <c r="F378" i="57" s="1"/>
  <c r="J378" i="57"/>
  <c r="I378" i="57"/>
  <c r="H378" i="57"/>
  <c r="G378" i="57"/>
  <c r="F377" i="57"/>
  <c r="F376" i="57"/>
  <c r="J375" i="57"/>
  <c r="J371" i="57" s="1"/>
  <c r="J370" i="57" s="1"/>
  <c r="I375" i="57"/>
  <c r="H375" i="57"/>
  <c r="G375" i="57"/>
  <c r="F375" i="57"/>
  <c r="F374" i="57"/>
  <c r="F373" i="57"/>
  <c r="F372" i="57" s="1"/>
  <c r="J372" i="57"/>
  <c r="I372" i="57"/>
  <c r="I371" i="57" s="1"/>
  <c r="H372" i="57"/>
  <c r="G372" i="57"/>
  <c r="H371" i="57"/>
  <c r="G371" i="57"/>
  <c r="I370" i="57"/>
  <c r="F369" i="57"/>
  <c r="F368" i="57"/>
  <c r="F367" i="57"/>
  <c r="J366" i="57"/>
  <c r="I366" i="57"/>
  <c r="H366" i="57"/>
  <c r="G366" i="57"/>
  <c r="F365" i="57"/>
  <c r="F364" i="57"/>
  <c r="J363" i="57"/>
  <c r="J359" i="57" s="1"/>
  <c r="I363" i="57"/>
  <c r="H363" i="57"/>
  <c r="G363" i="57"/>
  <c r="F363" i="57"/>
  <c r="F362" i="57"/>
  <c r="F361" i="57"/>
  <c r="F360" i="57" s="1"/>
  <c r="J360" i="57"/>
  <c r="I360" i="57"/>
  <c r="I359" i="57" s="1"/>
  <c r="I358" i="57" s="1"/>
  <c r="H360" i="57"/>
  <c r="G360" i="57"/>
  <c r="G359" i="57" s="1"/>
  <c r="G358" i="57" s="1"/>
  <c r="H359" i="57"/>
  <c r="H358" i="57" s="1"/>
  <c r="J358" i="57"/>
  <c r="J356" i="57" s="1"/>
  <c r="F355" i="57"/>
  <c r="F354" i="57"/>
  <c r="J353" i="57"/>
  <c r="I353" i="57"/>
  <c r="H353" i="57"/>
  <c r="G353" i="57"/>
  <c r="F353" i="57"/>
  <c r="F352" i="57"/>
  <c r="F351" i="57"/>
  <c r="F350" i="57"/>
  <c r="F349" i="57"/>
  <c r="F348" i="57" s="1"/>
  <c r="J348" i="57"/>
  <c r="I348" i="57"/>
  <c r="H348" i="57"/>
  <c r="G348" i="57"/>
  <c r="F347" i="57"/>
  <c r="F346" i="57"/>
  <c r="F345" i="57"/>
  <c r="F344" i="57"/>
  <c r="F343" i="57"/>
  <c r="F342" i="57"/>
  <c r="F341" i="57"/>
  <c r="F339" i="57" s="1"/>
  <c r="F340" i="57"/>
  <c r="J339" i="57"/>
  <c r="I339" i="57"/>
  <c r="H339" i="57"/>
  <c r="H335" i="57" s="1"/>
  <c r="G339" i="57"/>
  <c r="F338" i="57"/>
  <c r="F337" i="57"/>
  <c r="F336" i="57" s="1"/>
  <c r="J336" i="57"/>
  <c r="I336" i="57"/>
  <c r="H336" i="57"/>
  <c r="G336" i="57"/>
  <c r="J335" i="57"/>
  <c r="H334" i="57"/>
  <c r="F333" i="57"/>
  <c r="F332" i="57"/>
  <c r="F331" i="57"/>
  <c r="F330" i="57" s="1"/>
  <c r="J330" i="57"/>
  <c r="I330" i="57"/>
  <c r="H330" i="57"/>
  <c r="G330" i="57"/>
  <c r="F329" i="57"/>
  <c r="F328" i="57"/>
  <c r="F327" i="57"/>
  <c r="F326" i="57"/>
  <c r="F325" i="57"/>
  <c r="F324" i="57"/>
  <c r="F323" i="57"/>
  <c r="F322" i="57"/>
  <c r="F321" i="57"/>
  <c r="F320" i="57"/>
  <c r="F319" i="57"/>
  <c r="F318" i="57"/>
  <c r="F317" i="57"/>
  <c r="F316" i="57"/>
  <c r="F315" i="57"/>
  <c r="F313" i="57" s="1"/>
  <c r="F314" i="57"/>
  <c r="J313" i="57"/>
  <c r="I313" i="57"/>
  <c r="H313" i="57"/>
  <c r="G313" i="57"/>
  <c r="F312" i="57"/>
  <c r="F311" i="57"/>
  <c r="F310" i="57"/>
  <c r="F309" i="57"/>
  <c r="F308" i="57"/>
  <c r="F307" i="57"/>
  <c r="F306" i="57"/>
  <c r="F305" i="57"/>
  <c r="J304" i="57"/>
  <c r="I304" i="57"/>
  <c r="I303" i="57" s="1"/>
  <c r="I302" i="57" s="1"/>
  <c r="H304" i="57"/>
  <c r="G304" i="57"/>
  <c r="J303" i="57"/>
  <c r="J302" i="57" s="1"/>
  <c r="H303" i="57"/>
  <c r="H302" i="57" s="1"/>
  <c r="G303" i="57"/>
  <c r="F301" i="57"/>
  <c r="F300" i="57"/>
  <c r="J299" i="57"/>
  <c r="I299" i="57"/>
  <c r="H299" i="57"/>
  <c r="G299" i="57"/>
  <c r="F299" i="57"/>
  <c r="F298" i="57"/>
  <c r="F297" i="57"/>
  <c r="F296" i="57"/>
  <c r="F295" i="57"/>
  <c r="F294" i="57"/>
  <c r="F293" i="57"/>
  <c r="F292" i="57"/>
  <c r="F291" i="57"/>
  <c r="F288" i="57" s="1"/>
  <c r="F290" i="57"/>
  <c r="F289" i="57"/>
  <c r="J288" i="57"/>
  <c r="I288" i="57"/>
  <c r="I276" i="57" s="1"/>
  <c r="I275" i="57" s="1"/>
  <c r="H288" i="57"/>
  <c r="G288" i="57"/>
  <c r="F287" i="57"/>
  <c r="F286" i="57"/>
  <c r="F285" i="57"/>
  <c r="F284" i="57"/>
  <c r="F283" i="57"/>
  <c r="F282" i="57"/>
  <c r="F281" i="57"/>
  <c r="F280" i="57"/>
  <c r="F279" i="57"/>
  <c r="F277" i="57" s="1"/>
  <c r="F278" i="57"/>
  <c r="J277" i="57"/>
  <c r="I277" i="57"/>
  <c r="H277" i="57"/>
  <c r="H276" i="57" s="1"/>
  <c r="G277" i="57"/>
  <c r="J276" i="57"/>
  <c r="J275" i="57" s="1"/>
  <c r="G276" i="57"/>
  <c r="G275" i="57" s="1"/>
  <c r="H275" i="57"/>
  <c r="F274" i="57"/>
  <c r="F273" i="57"/>
  <c r="F272" i="57"/>
  <c r="F271" i="57" s="1"/>
  <c r="J271" i="57"/>
  <c r="I271" i="57"/>
  <c r="H271" i="57"/>
  <c r="H243" i="57" s="1"/>
  <c r="G271" i="57"/>
  <c r="F270" i="57"/>
  <c r="F269" i="57"/>
  <c r="F268" i="57"/>
  <c r="F267" i="57"/>
  <c r="F266" i="57"/>
  <c r="F265" i="57"/>
  <c r="F264" i="57"/>
  <c r="F263" i="57"/>
  <c r="F262" i="57"/>
  <c r="F261" i="57"/>
  <c r="F260" i="57"/>
  <c r="F259" i="57"/>
  <c r="F258" i="57"/>
  <c r="F257" i="57"/>
  <c r="J256" i="57"/>
  <c r="I256" i="57"/>
  <c r="H256" i="57"/>
  <c r="G256" i="57"/>
  <c r="F256" i="57"/>
  <c r="F255" i="57"/>
  <c r="F254" i="57"/>
  <c r="F253" i="57"/>
  <c r="F252" i="57"/>
  <c r="F251" i="57"/>
  <c r="F250" i="57"/>
  <c r="F249" i="57"/>
  <c r="F248" i="57"/>
  <c r="F245" i="57" s="1"/>
  <c r="F244" i="57" s="1"/>
  <c r="F247" i="57"/>
  <c r="F246" i="57"/>
  <c r="J245" i="57"/>
  <c r="I245" i="57"/>
  <c r="I244" i="57" s="1"/>
  <c r="I243" i="57" s="1"/>
  <c r="H245" i="57"/>
  <c r="H244" i="57" s="1"/>
  <c r="G245" i="57"/>
  <c r="J244" i="57"/>
  <c r="J243" i="57" s="1"/>
  <c r="G244" i="57"/>
  <c r="F243" i="57"/>
  <c r="F242" i="57"/>
  <c r="F241" i="57"/>
  <c r="F240" i="57"/>
  <c r="J239" i="57"/>
  <c r="I239" i="57"/>
  <c r="H239" i="57"/>
  <c r="G239" i="57"/>
  <c r="F239" i="57"/>
  <c r="F238" i="57"/>
  <c r="F237" i="57"/>
  <c r="F236" i="57"/>
  <c r="F235" i="57"/>
  <c r="F234" i="57"/>
  <c r="F233" i="57"/>
  <c r="F232" i="57"/>
  <c r="F231" i="57"/>
  <c r="F228" i="57" s="1"/>
  <c r="F230" i="57"/>
  <c r="F229" i="57"/>
  <c r="J228" i="57"/>
  <c r="J220" i="57" s="1"/>
  <c r="I228" i="57"/>
  <c r="I220" i="57" s="1"/>
  <c r="I219" i="57" s="1"/>
  <c r="H228" i="57"/>
  <c r="G228" i="57"/>
  <c r="F227" i="57"/>
  <c r="F226" i="57"/>
  <c r="F225" i="57"/>
  <c r="F224" i="57"/>
  <c r="F223" i="57"/>
  <c r="F221" i="57" s="1"/>
  <c r="F222" i="57"/>
  <c r="J221" i="57"/>
  <c r="I221" i="57"/>
  <c r="H221" i="57"/>
  <c r="H220" i="57" s="1"/>
  <c r="H219" i="57" s="1"/>
  <c r="G221" i="57"/>
  <c r="G220" i="57"/>
  <c r="G219" i="57" s="1"/>
  <c r="F218" i="57"/>
  <c r="F216" i="57"/>
  <c r="J215" i="57"/>
  <c r="I215" i="57"/>
  <c r="H215" i="57"/>
  <c r="G215" i="57"/>
  <c r="F215" i="57"/>
  <c r="F214" i="57"/>
  <c r="F213" i="57"/>
  <c r="F212" i="57"/>
  <c r="F211" i="57"/>
  <c r="F210" i="57"/>
  <c r="F209" i="57"/>
  <c r="F208" i="57"/>
  <c r="F207" i="57"/>
  <c r="F204" i="57" s="1"/>
  <c r="F206" i="57"/>
  <c r="F205" i="57"/>
  <c r="J204" i="57"/>
  <c r="I204" i="57"/>
  <c r="I196" i="57" s="1"/>
  <c r="I195" i="57" s="1"/>
  <c r="H204" i="57"/>
  <c r="G204" i="57"/>
  <c r="F203" i="57"/>
  <c r="F202" i="57"/>
  <c r="F201" i="57"/>
  <c r="F200" i="57"/>
  <c r="F199" i="57"/>
  <c r="F198" i="57"/>
  <c r="J197" i="57"/>
  <c r="I197" i="57"/>
  <c r="H197" i="57"/>
  <c r="G197" i="57"/>
  <c r="G196" i="57" s="1"/>
  <c r="J196" i="57"/>
  <c r="J195" i="57" s="1"/>
  <c r="H196" i="57"/>
  <c r="H195" i="57" s="1"/>
  <c r="G195" i="57"/>
  <c r="F194" i="57"/>
  <c r="F192" i="57"/>
  <c r="J191" i="57"/>
  <c r="I191" i="57"/>
  <c r="H191" i="57"/>
  <c r="H178" i="57" s="1"/>
  <c r="G191" i="57"/>
  <c r="G178" i="57" s="1"/>
  <c r="F191" i="57"/>
  <c r="F190" i="57"/>
  <c r="F189" i="57"/>
  <c r="F188" i="57"/>
  <c r="F187" i="57"/>
  <c r="F184" i="57" s="1"/>
  <c r="F186" i="57"/>
  <c r="F185" i="57"/>
  <c r="J184" i="57"/>
  <c r="I184" i="57"/>
  <c r="H184" i="57"/>
  <c r="G184" i="57"/>
  <c r="F183" i="57"/>
  <c r="F182" i="57"/>
  <c r="F181" i="57"/>
  <c r="J180" i="57"/>
  <c r="J179" i="57" s="1"/>
  <c r="J178" i="57" s="1"/>
  <c r="I180" i="57"/>
  <c r="H180" i="57"/>
  <c r="G180" i="57"/>
  <c r="F180" i="57"/>
  <c r="H179" i="57"/>
  <c r="G179" i="57"/>
  <c r="F179" i="57"/>
  <c r="F178" i="57" s="1"/>
  <c r="F177" i="57"/>
  <c r="F175" i="57"/>
  <c r="F174" i="57" s="1"/>
  <c r="J174" i="57"/>
  <c r="I174" i="57"/>
  <c r="H174" i="57"/>
  <c r="H161" i="57" s="1"/>
  <c r="G174" i="57"/>
  <c r="F173" i="57"/>
  <c r="F172" i="57"/>
  <c r="F171" i="57"/>
  <c r="F170" i="57"/>
  <c r="F169" i="57"/>
  <c r="F168" i="57"/>
  <c r="J167" i="57"/>
  <c r="I167" i="57"/>
  <c r="H167" i="57"/>
  <c r="G167" i="57"/>
  <c r="F167" i="57"/>
  <c r="F166" i="57"/>
  <c r="F165" i="57"/>
  <c r="F164" i="57"/>
  <c r="J163" i="57"/>
  <c r="J162" i="57" s="1"/>
  <c r="J161" i="57" s="1"/>
  <c r="I163" i="57"/>
  <c r="I162" i="57" s="1"/>
  <c r="H163" i="57"/>
  <c r="G163" i="57"/>
  <c r="F163" i="57"/>
  <c r="F162" i="57" s="1"/>
  <c r="F161" i="57" s="1"/>
  <c r="H162" i="57"/>
  <c r="G162" i="57"/>
  <c r="G161" i="57" s="1"/>
  <c r="I161" i="57"/>
  <c r="F160" i="57"/>
  <c r="F157" i="57" s="1"/>
  <c r="F158" i="57"/>
  <c r="J157" i="57"/>
  <c r="I157" i="57"/>
  <c r="H157" i="57"/>
  <c r="G157" i="57"/>
  <c r="F156" i="57"/>
  <c r="F155" i="57"/>
  <c r="F154" i="57"/>
  <c r="F153" i="57"/>
  <c r="F152" i="57"/>
  <c r="F151" i="57"/>
  <c r="F150" i="57" s="1"/>
  <c r="J150" i="57"/>
  <c r="I150" i="57"/>
  <c r="H150" i="57"/>
  <c r="G150" i="57"/>
  <c r="G144" i="57" s="1"/>
  <c r="G143" i="57" s="1"/>
  <c r="F149" i="57"/>
  <c r="F148" i="57"/>
  <c r="F147" i="57"/>
  <c r="F145" i="57" s="1"/>
  <c r="F146" i="57"/>
  <c r="J145" i="57"/>
  <c r="J144" i="57" s="1"/>
  <c r="I145" i="57"/>
  <c r="H145" i="57"/>
  <c r="H144" i="57" s="1"/>
  <c r="H143" i="57" s="1"/>
  <c r="G145" i="57"/>
  <c r="I144" i="57"/>
  <c r="I143" i="57" s="1"/>
  <c r="J143" i="57"/>
  <c r="F142" i="57"/>
  <c r="F140" i="57"/>
  <c r="F139" i="57" s="1"/>
  <c r="J139" i="57"/>
  <c r="I139" i="57"/>
  <c r="H139" i="57"/>
  <c r="G139" i="57"/>
  <c r="F138" i="57"/>
  <c r="F137" i="57"/>
  <c r="F136" i="57"/>
  <c r="F135" i="57"/>
  <c r="J134" i="57"/>
  <c r="I134" i="57"/>
  <c r="H134" i="57"/>
  <c r="G134" i="57"/>
  <c r="F134" i="57"/>
  <c r="F133" i="57"/>
  <c r="F132" i="57"/>
  <c r="F131" i="57"/>
  <c r="J130" i="57"/>
  <c r="J129" i="57" s="1"/>
  <c r="J128" i="57" s="1"/>
  <c r="I130" i="57"/>
  <c r="H130" i="57"/>
  <c r="H129" i="57" s="1"/>
  <c r="G130" i="57"/>
  <c r="F130" i="57"/>
  <c r="F129" i="57" s="1"/>
  <c r="F128" i="57" s="1"/>
  <c r="I129" i="57"/>
  <c r="I128" i="57" s="1"/>
  <c r="G129" i="57"/>
  <c r="H128" i="57"/>
  <c r="G128" i="57"/>
  <c r="F127" i="57"/>
  <c r="F125" i="57"/>
  <c r="J124" i="57"/>
  <c r="I124" i="57"/>
  <c r="H124" i="57"/>
  <c r="G124" i="57"/>
  <c r="G115" i="57" s="1"/>
  <c r="F124" i="57"/>
  <c r="F123" i="57"/>
  <c r="F121" i="57" s="1"/>
  <c r="F122" i="57"/>
  <c r="J121" i="57"/>
  <c r="I121" i="57"/>
  <c r="I116" i="57" s="1"/>
  <c r="I115" i="57" s="1"/>
  <c r="H121" i="57"/>
  <c r="G121" i="57"/>
  <c r="F120" i="57"/>
  <c r="F119" i="57"/>
  <c r="F117" i="57" s="1"/>
  <c r="F116" i="57" s="1"/>
  <c r="F115" i="57" s="1"/>
  <c r="F118" i="57"/>
  <c r="J117" i="57"/>
  <c r="I117" i="57"/>
  <c r="H117" i="57"/>
  <c r="H116" i="57" s="1"/>
  <c r="H115" i="57" s="1"/>
  <c r="G117" i="57"/>
  <c r="J116" i="57"/>
  <c r="J115" i="57" s="1"/>
  <c r="G116" i="57"/>
  <c r="F114" i="57"/>
  <c r="F113" i="57"/>
  <c r="F111" i="57" s="1"/>
  <c r="F112" i="57"/>
  <c r="J111" i="57"/>
  <c r="I111" i="57"/>
  <c r="H111" i="57"/>
  <c r="G111" i="57"/>
  <c r="F110" i="57"/>
  <c r="F109" i="57"/>
  <c r="F108" i="57"/>
  <c r="F107" i="57"/>
  <c r="F106" i="57"/>
  <c r="F105" i="57"/>
  <c r="F104" i="57"/>
  <c r="F103" i="57"/>
  <c r="F102" i="57"/>
  <c r="F101" i="57"/>
  <c r="F100" i="57"/>
  <c r="F99" i="57"/>
  <c r="F98" i="57"/>
  <c r="F97" i="57"/>
  <c r="F96" i="57"/>
  <c r="F95" i="57"/>
  <c r="F94" i="57"/>
  <c r="F93" i="57"/>
  <c r="F92" i="57"/>
  <c r="F91" i="57"/>
  <c r="J90" i="57"/>
  <c r="I90" i="57"/>
  <c r="I82" i="57" s="1"/>
  <c r="I81" i="57" s="1"/>
  <c r="H90" i="57"/>
  <c r="G90" i="57"/>
  <c r="F89" i="57"/>
  <c r="F88" i="57"/>
  <c r="F87" i="57"/>
  <c r="F86" i="57"/>
  <c r="F85" i="57"/>
  <c r="F84" i="57"/>
  <c r="F83" i="57" s="1"/>
  <c r="J83" i="57"/>
  <c r="I83" i="57"/>
  <c r="H83" i="57"/>
  <c r="G83" i="57"/>
  <c r="G82" i="57" s="1"/>
  <c r="G81" i="57" s="1"/>
  <c r="J82" i="57"/>
  <c r="H82" i="57"/>
  <c r="J81" i="57"/>
  <c r="F80" i="57"/>
  <c r="F79" i="57" s="1"/>
  <c r="J79" i="57"/>
  <c r="I79" i="57"/>
  <c r="H79" i="57"/>
  <c r="G79" i="57"/>
  <c r="F78" i="57"/>
  <c r="F77" i="57"/>
  <c r="F76" i="57"/>
  <c r="J75" i="57"/>
  <c r="I75" i="57"/>
  <c r="H75" i="57"/>
  <c r="G75" i="57"/>
  <c r="G65" i="57" s="1"/>
  <c r="F74" i="57"/>
  <c r="F73" i="57"/>
  <c r="F72" i="57"/>
  <c r="F71" i="57"/>
  <c r="F70" i="57"/>
  <c r="F69" i="57"/>
  <c r="F68" i="57"/>
  <c r="F66" i="57" s="1"/>
  <c r="F67" i="57"/>
  <c r="J66" i="57"/>
  <c r="I66" i="57"/>
  <c r="H66" i="57"/>
  <c r="H65" i="57" s="1"/>
  <c r="H64" i="57" s="1"/>
  <c r="G66" i="57"/>
  <c r="J65" i="57"/>
  <c r="J64" i="57" s="1"/>
  <c r="I65" i="57"/>
  <c r="I64" i="57" s="1"/>
  <c r="G64" i="57"/>
  <c r="F63" i="57"/>
  <c r="F61" i="57"/>
  <c r="J60" i="57"/>
  <c r="I60" i="57"/>
  <c r="H60" i="57"/>
  <c r="G60" i="57"/>
  <c r="F60" i="57"/>
  <c r="F59" i="57"/>
  <c r="F58" i="57"/>
  <c r="F57" i="57"/>
  <c r="F56" i="57"/>
  <c r="F55" i="57"/>
  <c r="F54" i="57"/>
  <c r="F53" i="57"/>
  <c r="F52" i="57"/>
  <c r="J51" i="57"/>
  <c r="I51" i="57"/>
  <c r="H51" i="57"/>
  <c r="G51" i="57"/>
  <c r="F51" i="57"/>
  <c r="F50" i="57"/>
  <c r="F49" i="57"/>
  <c r="F48" i="57"/>
  <c r="J47" i="57"/>
  <c r="J46" i="57" s="1"/>
  <c r="J45" i="57" s="1"/>
  <c r="I47" i="57"/>
  <c r="H47" i="57"/>
  <c r="G47" i="57"/>
  <c r="F47" i="57"/>
  <c r="F46" i="57" s="1"/>
  <c r="F45" i="57" s="1"/>
  <c r="I46" i="57"/>
  <c r="H46" i="57"/>
  <c r="G46" i="57"/>
  <c r="G45" i="57" s="1"/>
  <c r="I45" i="57"/>
  <c r="H45" i="57"/>
  <c r="F44" i="57"/>
  <c r="J43" i="57"/>
  <c r="J32" i="57" s="1"/>
  <c r="I43" i="57"/>
  <c r="H43" i="57"/>
  <c r="G43" i="57"/>
  <c r="F43" i="57"/>
  <c r="F42" i="57"/>
  <c r="F41" i="57"/>
  <c r="F40" i="57"/>
  <c r="F39" i="57"/>
  <c r="F38" i="57" s="1"/>
  <c r="J38" i="57"/>
  <c r="I38" i="57"/>
  <c r="H38" i="57"/>
  <c r="G38" i="57"/>
  <c r="F37" i="57"/>
  <c r="F36" i="57"/>
  <c r="F35" i="57"/>
  <c r="J34" i="57"/>
  <c r="I34" i="57"/>
  <c r="H34" i="57"/>
  <c r="G34" i="57"/>
  <c r="J33" i="57"/>
  <c r="I33" i="57"/>
  <c r="I32" i="57" s="1"/>
  <c r="H33" i="57"/>
  <c r="H32" i="57" s="1"/>
  <c r="F31" i="57"/>
  <c r="F28" i="57" s="1"/>
  <c r="F29" i="57"/>
  <c r="J28" i="57"/>
  <c r="I28" i="57"/>
  <c r="H28" i="57"/>
  <c r="G28" i="57"/>
  <c r="F27" i="57"/>
  <c r="F26" i="57"/>
  <c r="F24" i="57" s="1"/>
  <c r="F25" i="57"/>
  <c r="J24" i="57"/>
  <c r="I24" i="57"/>
  <c r="I19" i="57" s="1"/>
  <c r="I18" i="57" s="1"/>
  <c r="H24" i="57"/>
  <c r="G24" i="57"/>
  <c r="F23" i="57"/>
  <c r="F22" i="57"/>
  <c r="F20" i="57" s="1"/>
  <c r="F21" i="57"/>
  <c r="J20" i="57"/>
  <c r="I20" i="57"/>
  <c r="H20" i="57"/>
  <c r="G20" i="57"/>
  <c r="J19" i="57"/>
  <c r="G19" i="57"/>
  <c r="F19" i="57"/>
  <c r="F18" i="57" s="1"/>
  <c r="J18" i="57"/>
  <c r="G18" i="57"/>
  <c r="F17" i="57"/>
  <c r="F16" i="57"/>
  <c r="F15" i="57"/>
  <c r="J14" i="57"/>
  <c r="I14" i="57"/>
  <c r="H14" i="57"/>
  <c r="G14" i="57"/>
  <c r="F14" i="57"/>
  <c r="F13" i="57"/>
  <c r="F12" i="57"/>
  <c r="F11" i="57"/>
  <c r="J10" i="57"/>
  <c r="J9" i="57" s="1"/>
  <c r="I10" i="57"/>
  <c r="H10" i="57"/>
  <c r="G10" i="57"/>
  <c r="F10" i="57"/>
  <c r="F9" i="57" s="1"/>
  <c r="I9" i="57"/>
  <c r="H9" i="57"/>
  <c r="G9" i="57"/>
  <c r="F90" i="56"/>
  <c r="J89" i="56"/>
  <c r="I89" i="56"/>
  <c r="H89" i="56"/>
  <c r="G89" i="56"/>
  <c r="F89" i="56"/>
  <c r="F88" i="56"/>
  <c r="F87" i="56"/>
  <c r="F86" i="56"/>
  <c r="F85" i="56"/>
  <c r="F84" i="56"/>
  <c r="F83" i="56"/>
  <c r="F82" i="56"/>
  <c r="F81" i="56"/>
  <c r="F80" i="56"/>
  <c r="F79" i="56"/>
  <c r="F78" i="56"/>
  <c r="F77" i="56"/>
  <c r="F76" i="56"/>
  <c r="F75" i="56"/>
  <c r="F74" i="56"/>
  <c r="F73" i="56"/>
  <c r="J72" i="56"/>
  <c r="I72" i="56"/>
  <c r="H72" i="56"/>
  <c r="G72" i="56"/>
  <c r="F72" i="56"/>
  <c r="F71" i="56"/>
  <c r="F70" i="56"/>
  <c r="F69" i="56"/>
  <c r="F68" i="56"/>
  <c r="F67" i="56"/>
  <c r="F66" i="56"/>
  <c r="F65" i="56"/>
  <c r="F64" i="56"/>
  <c r="F61" i="56" s="1"/>
  <c r="F63" i="56"/>
  <c r="F62" i="56"/>
  <c r="J61" i="56"/>
  <c r="J58" i="56" s="1"/>
  <c r="J57" i="56" s="1"/>
  <c r="J55" i="56" s="1"/>
  <c r="I61" i="56"/>
  <c r="I58" i="56" s="1"/>
  <c r="I57" i="56" s="1"/>
  <c r="I55" i="56" s="1"/>
  <c r="H61" i="56"/>
  <c r="G61" i="56"/>
  <c r="F60" i="56"/>
  <c r="F59" i="56" s="1"/>
  <c r="J59" i="56"/>
  <c r="I59" i="56"/>
  <c r="H59" i="56"/>
  <c r="G59" i="56"/>
  <c r="G58" i="56" s="1"/>
  <c r="G57" i="56" s="1"/>
  <c r="G55" i="56" s="1"/>
  <c r="H58" i="56"/>
  <c r="H57" i="56" s="1"/>
  <c r="H55" i="56" s="1"/>
  <c r="F54" i="56"/>
  <c r="J53" i="56"/>
  <c r="I53" i="56"/>
  <c r="H53" i="56"/>
  <c r="H35" i="56" s="1"/>
  <c r="H33" i="56" s="1"/>
  <c r="G53" i="56"/>
  <c r="F53" i="56"/>
  <c r="F52" i="56"/>
  <c r="F51" i="56"/>
  <c r="F50" i="56"/>
  <c r="F49" i="56"/>
  <c r="F48" i="56"/>
  <c r="F47" i="56"/>
  <c r="F46" i="56"/>
  <c r="F45" i="56"/>
  <c r="F44" i="56"/>
  <c r="F43" i="56"/>
  <c r="F42" i="56"/>
  <c r="F41" i="56"/>
  <c r="F40" i="56"/>
  <c r="F39" i="56"/>
  <c r="F36" i="56" s="1"/>
  <c r="F35" i="56" s="1"/>
  <c r="F33" i="56" s="1"/>
  <c r="F38" i="56"/>
  <c r="F37" i="56"/>
  <c r="J36" i="56"/>
  <c r="I36" i="56"/>
  <c r="I35" i="56" s="1"/>
  <c r="I33" i="56" s="1"/>
  <c r="H36" i="56"/>
  <c r="G36" i="56"/>
  <c r="J35" i="56"/>
  <c r="J33" i="56" s="1"/>
  <c r="G35" i="56"/>
  <c r="G33" i="56"/>
  <c r="F32" i="56"/>
  <c r="F31" i="56"/>
  <c r="J30" i="56"/>
  <c r="I30" i="56"/>
  <c r="H30" i="56"/>
  <c r="G30" i="56"/>
  <c r="F30" i="56"/>
  <c r="F29" i="56"/>
  <c r="F28" i="56"/>
  <c r="J27" i="56"/>
  <c r="I27" i="56"/>
  <c r="H27" i="56"/>
  <c r="G27" i="56"/>
  <c r="F27" i="56"/>
  <c r="F26" i="56"/>
  <c r="F24" i="56" s="1"/>
  <c r="F23" i="56" s="1"/>
  <c r="F22" i="56" s="1"/>
  <c r="F25" i="56"/>
  <c r="J24" i="56"/>
  <c r="I24" i="56"/>
  <c r="H24" i="56"/>
  <c r="H23" i="56" s="1"/>
  <c r="H22" i="56" s="1"/>
  <c r="H8" i="56" s="1"/>
  <c r="H91" i="56" s="1"/>
  <c r="G24" i="56"/>
  <c r="J23" i="56"/>
  <c r="I23" i="56"/>
  <c r="I22" i="56" s="1"/>
  <c r="G23" i="56"/>
  <c r="J22" i="56"/>
  <c r="G22" i="56"/>
  <c r="F21" i="56"/>
  <c r="F20" i="56"/>
  <c r="F19" i="56"/>
  <c r="F18" i="56"/>
  <c r="F17" i="56"/>
  <c r="F16" i="56"/>
  <c r="F15" i="56"/>
  <c r="J14" i="56"/>
  <c r="I14" i="56"/>
  <c r="H14" i="56"/>
  <c r="G14" i="56"/>
  <c r="F14" i="56"/>
  <c r="F13" i="56"/>
  <c r="F12" i="56"/>
  <c r="J11" i="56"/>
  <c r="I11" i="56"/>
  <c r="I10" i="56" s="1"/>
  <c r="H11" i="56"/>
  <c r="G11" i="56"/>
  <c r="F11" i="56"/>
  <c r="J10" i="56"/>
  <c r="J8" i="56" s="1"/>
  <c r="H10" i="56"/>
  <c r="G10" i="56"/>
  <c r="F10" i="56"/>
  <c r="F8" i="56" s="1"/>
  <c r="G8" i="56"/>
  <c r="I356" i="57" l="1"/>
  <c r="I561" i="57"/>
  <c r="J334" i="57"/>
  <c r="F385" i="57"/>
  <c r="F384" i="57" s="1"/>
  <c r="F427" i="57"/>
  <c r="F439" i="57"/>
  <c r="F438" i="57" s="1"/>
  <c r="J7" i="57"/>
  <c r="H19" i="57"/>
  <c r="H18" i="57" s="1"/>
  <c r="H7" i="57" s="1"/>
  <c r="H81" i="57"/>
  <c r="F144" i="57"/>
  <c r="F143" i="57" s="1"/>
  <c r="F220" i="57"/>
  <c r="F219" i="57" s="1"/>
  <c r="J219" i="57"/>
  <c r="G243" i="57"/>
  <c r="G302" i="57"/>
  <c r="G335" i="57"/>
  <c r="G334" i="57" s="1"/>
  <c r="J655" i="57"/>
  <c r="G809" i="57"/>
  <c r="G808" i="57" s="1"/>
  <c r="G783" i="57" s="1"/>
  <c r="G33" i="57"/>
  <c r="G32" i="57" s="1"/>
  <c r="G7" i="57" s="1"/>
  <c r="F34" i="57"/>
  <c r="F33" i="57" s="1"/>
  <c r="F32" i="57" s="1"/>
  <c r="F75" i="57"/>
  <c r="F65" i="57" s="1"/>
  <c r="F64" i="57" s="1"/>
  <c r="I179" i="57"/>
  <c r="I178" i="57" s="1"/>
  <c r="G370" i="57"/>
  <c r="I535" i="57"/>
  <c r="F809" i="57"/>
  <c r="F808" i="57" s="1"/>
  <c r="F335" i="57"/>
  <c r="F334" i="57" s="1"/>
  <c r="G439" i="57"/>
  <c r="G438" i="57" s="1"/>
  <c r="I738" i="57"/>
  <c r="I695" i="57" s="1"/>
  <c r="F90" i="57"/>
  <c r="F82" i="57" s="1"/>
  <c r="F81" i="57" s="1"/>
  <c r="F276" i="57"/>
  <c r="F275" i="57" s="1"/>
  <c r="H370" i="57"/>
  <c r="H356" i="57" s="1"/>
  <c r="F467" i="57"/>
  <c r="F466" i="57" s="1"/>
  <c r="G466" i="57"/>
  <c r="F528" i="57"/>
  <c r="F520" i="57" s="1"/>
  <c r="F572" i="57"/>
  <c r="F695" i="57"/>
  <c r="F304" i="57"/>
  <c r="F303" i="57" s="1"/>
  <c r="F302" i="57" s="1"/>
  <c r="I335" i="57"/>
  <c r="I334" i="57" s="1"/>
  <c r="I7" i="57" s="1"/>
  <c r="I823" i="57" s="1"/>
  <c r="F359" i="57"/>
  <c r="F371" i="57"/>
  <c r="F370" i="57" s="1"/>
  <c r="F406" i="57"/>
  <c r="F398" i="57" s="1"/>
  <c r="F593" i="57"/>
  <c r="F592" i="57" s="1"/>
  <c r="F591" i="57" s="1"/>
  <c r="F612" i="57"/>
  <c r="F611" i="57" s="1"/>
  <c r="I612" i="57"/>
  <c r="I611" i="57" s="1"/>
  <c r="G695" i="57"/>
  <c r="F197" i="57"/>
  <c r="F196" i="57" s="1"/>
  <c r="F195" i="57" s="1"/>
  <c r="F366" i="57"/>
  <c r="F482" i="57"/>
  <c r="F481" i="57" s="1"/>
  <c r="F480" i="57" s="1"/>
  <c r="I480" i="57"/>
  <c r="F495" i="57"/>
  <c r="F494" i="57" s="1"/>
  <c r="J592" i="57"/>
  <c r="J591" i="57" s="1"/>
  <c r="I591" i="57"/>
  <c r="G656" i="57"/>
  <c r="G655" i="57" s="1"/>
  <c r="H655" i="57"/>
  <c r="H561" i="57" s="1"/>
  <c r="F740" i="57"/>
  <c r="F739" i="57" s="1"/>
  <c r="F738" i="57" s="1"/>
  <c r="F793" i="57"/>
  <c r="F786" i="57" s="1"/>
  <c r="F785" i="57" s="1"/>
  <c r="F783" i="57" s="1"/>
  <c r="F414" i="57"/>
  <c r="F413" i="57" s="1"/>
  <c r="F412" i="57" s="1"/>
  <c r="F434" i="57"/>
  <c r="F446" i="57"/>
  <c r="G563" i="57"/>
  <c r="F564" i="57"/>
  <c r="F588" i="57"/>
  <c r="F576" i="57" s="1"/>
  <c r="F58" i="56"/>
  <c r="F57" i="56" s="1"/>
  <c r="F55" i="56" s="1"/>
  <c r="F91" i="56" s="1"/>
  <c r="G91" i="56"/>
  <c r="J91" i="56"/>
  <c r="I8" i="56"/>
  <c r="I91" i="56" s="1"/>
  <c r="G28" i="55"/>
  <c r="G27" i="55"/>
  <c r="F23" i="55"/>
  <c r="F19" i="55"/>
  <c r="F21" i="55" s="1"/>
  <c r="F24" i="55" s="1"/>
  <c r="F30" i="55" s="1"/>
  <c r="E19" i="55"/>
  <c r="H32" i="54"/>
  <c r="H28" i="54"/>
  <c r="G28" i="54"/>
  <c r="G31" i="54" s="1"/>
  <c r="J25" i="54"/>
  <c r="E21" i="54"/>
  <c r="E20" i="54"/>
  <c r="E18" i="54"/>
  <c r="E17" i="54"/>
  <c r="E16" i="54"/>
  <c r="E14" i="54"/>
  <c r="E13" i="54"/>
  <c r="E28" i="54" s="1"/>
  <c r="E12" i="54"/>
  <c r="E11" i="54"/>
  <c r="E7" i="54"/>
  <c r="G823" i="57" l="1"/>
  <c r="H823" i="57"/>
  <c r="F7" i="57"/>
  <c r="F563" i="57"/>
  <c r="F561" i="57" s="1"/>
  <c r="G561" i="57"/>
  <c r="G356" i="57"/>
  <c r="J561" i="57"/>
  <c r="J823" i="57" s="1"/>
  <c r="F358" i="57"/>
  <c r="F356" i="57" s="1"/>
  <c r="F426" i="57"/>
  <c r="F1745" i="53"/>
  <c r="F1744" i="53"/>
  <c r="F1731" i="53"/>
  <c r="F1727" i="53"/>
  <c r="F1723" i="53"/>
  <c r="F1719" i="53"/>
  <c r="F1718" i="53" s="1"/>
  <c r="F1717" i="53" s="1"/>
  <c r="F1716" i="53" s="1"/>
  <c r="F1715" i="53" s="1"/>
  <c r="F1713" i="53"/>
  <c r="F1712" i="53"/>
  <c r="F1711" i="53" s="1"/>
  <c r="F1710" i="53" s="1"/>
  <c r="F1708" i="53"/>
  <c r="F1707" i="53"/>
  <c r="F1704" i="53"/>
  <c r="F1686" i="53"/>
  <c r="F1678" i="53" s="1"/>
  <c r="F1677" i="53" s="1"/>
  <c r="F1676" i="53" s="1"/>
  <c r="F1675" i="53" s="1"/>
  <c r="F1679" i="53"/>
  <c r="F1671" i="53"/>
  <c r="F1670" i="53" s="1"/>
  <c r="F1668" i="53"/>
  <c r="F1666" i="53" s="1"/>
  <c r="F1665" i="53" s="1"/>
  <c r="F1664" i="53" s="1"/>
  <c r="F1663" i="53" s="1"/>
  <c r="F1667" i="53"/>
  <c r="F1661" i="53"/>
  <c r="F1660" i="53" s="1"/>
  <c r="F1655" i="53" s="1"/>
  <c r="F1657" i="53"/>
  <c r="F1656" i="53" s="1"/>
  <c r="F1653" i="53"/>
  <c r="F1652" i="53"/>
  <c r="F1647" i="53"/>
  <c r="F1646" i="53"/>
  <c r="F1643" i="53"/>
  <c r="F1642" i="53" s="1"/>
  <c r="F1640" i="53"/>
  <c r="F1638" i="53" s="1"/>
  <c r="F1637" i="53" s="1"/>
  <c r="F1636" i="53" s="1"/>
  <c r="F1634" i="53"/>
  <c r="F1633" i="53" s="1"/>
  <c r="F1629" i="53"/>
  <c r="F1628" i="53" s="1"/>
  <c r="F1627" i="53"/>
  <c r="F1624" i="53"/>
  <c r="F1623" i="53"/>
  <c r="F1622" i="53" s="1"/>
  <c r="F1619" i="53"/>
  <c r="F1618" i="53" s="1"/>
  <c r="F1614" i="53"/>
  <c r="F1613" i="53" s="1"/>
  <c r="F1612" i="53" s="1"/>
  <c r="F1605" i="53"/>
  <c r="F1604" i="53"/>
  <c r="F1603" i="53" s="1"/>
  <c r="F1601" i="53"/>
  <c r="F1600" i="53" s="1"/>
  <c r="F1594" i="53" s="1"/>
  <c r="F1596" i="53"/>
  <c r="F1595" i="53" s="1"/>
  <c r="F1591" i="53"/>
  <c r="F1588" i="53"/>
  <c r="F1587" i="53" s="1"/>
  <c r="F1586" i="53" s="1"/>
  <c r="F1581" i="53"/>
  <c r="F1580" i="53" s="1"/>
  <c r="F1579" i="53" s="1"/>
  <c r="F1578" i="53" s="1"/>
  <c r="F1575" i="53"/>
  <c r="F1574" i="53" s="1"/>
  <c r="F1573" i="53" s="1"/>
  <c r="F1572" i="53" s="1"/>
  <c r="F1570" i="53"/>
  <c r="F1566" i="53"/>
  <c r="F1565" i="53"/>
  <c r="F1564" i="53" s="1"/>
  <c r="F1563" i="53" s="1"/>
  <c r="F1560" i="53"/>
  <c r="F1558" i="53"/>
  <c r="F1557" i="53" s="1"/>
  <c r="F1552" i="53"/>
  <c r="F1551" i="53" s="1"/>
  <c r="F1550" i="53" s="1"/>
  <c r="F1549" i="53" s="1"/>
  <c r="F1547" i="53"/>
  <c r="F1546" i="53" s="1"/>
  <c r="F1543" i="53"/>
  <c r="F1541" i="53"/>
  <c r="F1540" i="53"/>
  <c r="F1539" i="53" s="1"/>
  <c r="F1538" i="53"/>
  <c r="F1537" i="53" s="1"/>
  <c r="F1536" i="53" s="1"/>
  <c r="F1534" i="53"/>
  <c r="F1533" i="53"/>
  <c r="F1530" i="53"/>
  <c r="F1529" i="53"/>
  <c r="F1528" i="53" s="1"/>
  <c r="F1527" i="53"/>
  <c r="F1526" i="53" s="1"/>
  <c r="F1525" i="53" s="1"/>
  <c r="F1524" i="53" s="1"/>
  <c r="F1506" i="53"/>
  <c r="F1505" i="53" s="1"/>
  <c r="F1504" i="53" s="1"/>
  <c r="F1503" i="53"/>
  <c r="F1502" i="53"/>
  <c r="F1498" i="53"/>
  <c r="F1497" i="53"/>
  <c r="F1493" i="53" s="1"/>
  <c r="F1486" i="53" s="1"/>
  <c r="F1485" i="53" s="1"/>
  <c r="F1484" i="53" s="1"/>
  <c r="F1483" i="53" s="1"/>
  <c r="F1494" i="53"/>
  <c r="F1487" i="53"/>
  <c r="F1444" i="53"/>
  <c r="F1442" i="53"/>
  <c r="F1441" i="53"/>
  <c r="F1440" i="53" s="1"/>
  <c r="F1439" i="53"/>
  <c r="F1438" i="53" s="1"/>
  <c r="F1433" i="53"/>
  <c r="F1425" i="53"/>
  <c r="F1424" i="53"/>
  <c r="F1422" i="53"/>
  <c r="F1421" i="53"/>
  <c r="F1420" i="53"/>
  <c r="F1419" i="53"/>
  <c r="F1416" i="53"/>
  <c r="F1415" i="53"/>
  <c r="F1414" i="53"/>
  <c r="F1413" i="53"/>
  <c r="F1410" i="53"/>
  <c r="F1409" i="53"/>
  <c r="F1408" i="53"/>
  <c r="F1407" i="53"/>
  <c r="F1406" i="53"/>
  <c r="F1405" i="53"/>
  <c r="F1404" i="53"/>
  <c r="F1403" i="53"/>
  <c r="F1402" i="53"/>
  <c r="F1401" i="53"/>
  <c r="F1400" i="53"/>
  <c r="F1399" i="53"/>
  <c r="F1398" i="53"/>
  <c r="F1397" i="53"/>
  <c r="F1396" i="53"/>
  <c r="F1395" i="53"/>
  <c r="F1394" i="53"/>
  <c r="F1393" i="53"/>
  <c r="F1392" i="53"/>
  <c r="F1391" i="53"/>
  <c r="F1390" i="53"/>
  <c r="F1389" i="53"/>
  <c r="F1388" i="53" s="1"/>
  <c r="F1384" i="53"/>
  <c r="F1366" i="53"/>
  <c r="F1359" i="53"/>
  <c r="F1358" i="53" s="1"/>
  <c r="F1357" i="53" s="1"/>
  <c r="F1356" i="53" s="1"/>
  <c r="F1353" i="53"/>
  <c r="F1352" i="53" s="1"/>
  <c r="F1351" i="53" s="1"/>
  <c r="F1350" i="53" s="1"/>
  <c r="F1347" i="53"/>
  <c r="F1344" i="53"/>
  <c r="F1343" i="53" s="1"/>
  <c r="F1310" i="53"/>
  <c r="F1306" i="53"/>
  <c r="F1305" i="53"/>
  <c r="F1302" i="53"/>
  <c r="F1290" i="53"/>
  <c r="F1285" i="53"/>
  <c r="F1277" i="53" s="1"/>
  <c r="F1276" i="53" s="1"/>
  <c r="F1275" i="53" s="1"/>
  <c r="F1278" i="53"/>
  <c r="F1273" i="53"/>
  <c r="F1272" i="53"/>
  <c r="F1271" i="53" s="1"/>
  <c r="F1269" i="53"/>
  <c r="F1268" i="53" s="1"/>
  <c r="F1267" i="53" s="1"/>
  <c r="F1266" i="53"/>
  <c r="F1265" i="53"/>
  <c r="F1264" i="53" s="1"/>
  <c r="F1262" i="53"/>
  <c r="F1260" i="53" s="1"/>
  <c r="F1257" i="53"/>
  <c r="F1239" i="53"/>
  <c r="F1232" i="53"/>
  <c r="F1231" i="53" s="1"/>
  <c r="F1230" i="53"/>
  <c r="F1229" i="53" s="1"/>
  <c r="F1227" i="53"/>
  <c r="F1225" i="53"/>
  <c r="F1224" i="53"/>
  <c r="F1207" i="53"/>
  <c r="F1200" i="53"/>
  <c r="F1199" i="53" s="1"/>
  <c r="F1198" i="53"/>
  <c r="F1197" i="53" s="1"/>
  <c r="F1195" i="53"/>
  <c r="F1194" i="53" s="1"/>
  <c r="F1193" i="53"/>
  <c r="F1192" i="53"/>
  <c r="F1191" i="53"/>
  <c r="F1190" i="53" s="1"/>
  <c r="F1189" i="53" s="1"/>
  <c r="F1185" i="53"/>
  <c r="F1182" i="53"/>
  <c r="F1177" i="53"/>
  <c r="F1176" i="53" s="1"/>
  <c r="F1175" i="53" s="1"/>
  <c r="F1174" i="53" s="1"/>
  <c r="F1172" i="53"/>
  <c r="F1171" i="53" s="1"/>
  <c r="F1170" i="53" s="1"/>
  <c r="F1169" i="53" s="1"/>
  <c r="F1167" i="53"/>
  <c r="F1166" i="53" s="1"/>
  <c r="F1162" i="53"/>
  <c r="F1158" i="53"/>
  <c r="F1157" i="53"/>
  <c r="F1153" i="53"/>
  <c r="F1152" i="53"/>
  <c r="F1151" i="53" s="1"/>
  <c r="F1150" i="53"/>
  <c r="F1149" i="53" s="1"/>
  <c r="F1148" i="53"/>
  <c r="F1147" i="53" s="1"/>
  <c r="F1146" i="53" s="1"/>
  <c r="F1144" i="53"/>
  <c r="F1141" i="53"/>
  <c r="F1140" i="53" s="1"/>
  <c r="F1139" i="53"/>
  <c r="F1138" i="53" s="1"/>
  <c r="F1136" i="53"/>
  <c r="F1135" i="53" s="1"/>
  <c r="F1134" i="53"/>
  <c r="F1132" i="53"/>
  <c r="F1128" i="53"/>
  <c r="F1127" i="53" s="1"/>
  <c r="F1122" i="53" s="1"/>
  <c r="F1124" i="53"/>
  <c r="F1123" i="53" s="1"/>
  <c r="F1120" i="53"/>
  <c r="F1119" i="53"/>
  <c r="F1114" i="53" s="1"/>
  <c r="F1116" i="53"/>
  <c r="F1115" i="53"/>
  <c r="F1112" i="53"/>
  <c r="F1107" i="53"/>
  <c r="F1106" i="53"/>
  <c r="F1103" i="53"/>
  <c r="F1102" i="53"/>
  <c r="F1101" i="53" s="1"/>
  <c r="F1099" i="53"/>
  <c r="F1098" i="53"/>
  <c r="F1097" i="53" s="1"/>
  <c r="F1096" i="53"/>
  <c r="F1095" i="53" s="1"/>
  <c r="F1094" i="53"/>
  <c r="F1093" i="53" s="1"/>
  <c r="F1092" i="53"/>
  <c r="F1091" i="53" s="1"/>
  <c r="F1089" i="53"/>
  <c r="F1088" i="53" s="1"/>
  <c r="F1087" i="53"/>
  <c r="F1086" i="53" s="1"/>
  <c r="F1083" i="53"/>
  <c r="F1082" i="53" s="1"/>
  <c r="F1050" i="53"/>
  <c r="F1045" i="53"/>
  <c r="F1041" i="53"/>
  <c r="F1036" i="53"/>
  <c r="F1030" i="53"/>
  <c r="F1029" i="53" s="1"/>
  <c r="F1028" i="53" s="1"/>
  <c r="F1027" i="53" s="1"/>
  <c r="F1025" i="53"/>
  <c r="F1024" i="53" s="1"/>
  <c r="F1021" i="53"/>
  <c r="F1015" i="53"/>
  <c r="F1011" i="53"/>
  <c r="F1008" i="53"/>
  <c r="F1006" i="53"/>
  <c r="F1004" i="53" s="1"/>
  <c r="F997" i="53"/>
  <c r="F996" i="53" s="1"/>
  <c r="F995" i="53" s="1"/>
  <c r="F994" i="53" s="1"/>
  <c r="F964" i="53"/>
  <c r="F961" i="53"/>
  <c r="F953" i="53"/>
  <c r="F951" i="53"/>
  <c r="F949" i="53"/>
  <c r="F948" i="53" s="1"/>
  <c r="F941" i="53"/>
  <c r="F936" i="53"/>
  <c r="F921" i="53"/>
  <c r="F914" i="53"/>
  <c r="F913" i="53" s="1"/>
  <c r="F912" i="53"/>
  <c r="F911" i="53" s="1"/>
  <c r="F909" i="53"/>
  <c r="F908" i="53" s="1"/>
  <c r="F905" i="53"/>
  <c r="F904" i="53" s="1"/>
  <c r="F887" i="53"/>
  <c r="F886" i="53" s="1"/>
  <c r="F879" i="53"/>
  <c r="F878" i="53" s="1"/>
  <c r="F877" i="53" s="1"/>
  <c r="F876" i="53" s="1"/>
  <c r="F875" i="53"/>
  <c r="F874" i="53" s="1"/>
  <c r="F869" i="53"/>
  <c r="F868" i="53" s="1"/>
  <c r="F862" i="53"/>
  <c r="F861" i="53" s="1"/>
  <c r="F860" i="53" s="1"/>
  <c r="F859" i="53" s="1"/>
  <c r="F857" i="53"/>
  <c r="F853" i="53"/>
  <c r="F852" i="53"/>
  <c r="F851" i="53" s="1"/>
  <c r="F845" i="53"/>
  <c r="F841" i="53"/>
  <c r="F840" i="53" s="1"/>
  <c r="F831" i="53"/>
  <c r="F828" i="53" s="1"/>
  <c r="F823" i="53"/>
  <c r="F822" i="53" s="1"/>
  <c r="F821" i="53"/>
  <c r="F820" i="53" s="1"/>
  <c r="F819" i="53" s="1"/>
  <c r="F817" i="53"/>
  <c r="F816" i="53"/>
  <c r="F813" i="53"/>
  <c r="F812" i="53"/>
  <c r="F811" i="53" s="1"/>
  <c r="F808" i="53"/>
  <c r="F807" i="53"/>
  <c r="F804" i="53"/>
  <c r="F803" i="53"/>
  <c r="F802" i="53" s="1"/>
  <c r="F801" i="53" s="1"/>
  <c r="F800" i="53" s="1"/>
  <c r="F798" i="53"/>
  <c r="F797" i="53" s="1"/>
  <c r="F796" i="53" s="1"/>
  <c r="F791" i="53" s="1"/>
  <c r="F794" i="53"/>
  <c r="F793" i="53"/>
  <c r="F792" i="53" s="1"/>
  <c r="F789" i="53"/>
  <c r="F788" i="53"/>
  <c r="F787" i="53" s="1"/>
  <c r="F785" i="53"/>
  <c r="F784" i="53" s="1"/>
  <c r="F783" i="53"/>
  <c r="F781" i="53"/>
  <c r="F780" i="53"/>
  <c r="F777" i="53"/>
  <c r="F776" i="53"/>
  <c r="F775" i="53" s="1"/>
  <c r="F773" i="53"/>
  <c r="F772" i="53" s="1"/>
  <c r="F769" i="53"/>
  <c r="F768" i="53" s="1"/>
  <c r="F767" i="53" s="1"/>
  <c r="F766" i="53" s="1"/>
  <c r="F765" i="53"/>
  <c r="F764" i="53" s="1"/>
  <c r="F763" i="53" s="1"/>
  <c r="F762" i="53" s="1"/>
  <c r="F761" i="53" s="1"/>
  <c r="F760" i="53" s="1"/>
  <c r="F756" i="53"/>
  <c r="F751" i="53"/>
  <c r="F750" i="53"/>
  <c r="F718" i="53"/>
  <c r="F715" i="53"/>
  <c r="F712" i="53"/>
  <c r="F710" i="53"/>
  <c r="F709" i="53"/>
  <c r="F706" i="53"/>
  <c r="F705" i="53"/>
  <c r="F704" i="53"/>
  <c r="F702" i="53" s="1"/>
  <c r="F698" i="53"/>
  <c r="F697" i="53" s="1"/>
  <c r="F696" i="53" s="1"/>
  <c r="F695" i="53" s="1"/>
  <c r="F693" i="53"/>
  <c r="F692" i="53" s="1"/>
  <c r="F691" i="53" s="1"/>
  <c r="F690" i="53" s="1"/>
  <c r="F688" i="53"/>
  <c r="F687" i="53" s="1"/>
  <c r="F684" i="53"/>
  <c r="F681" i="53"/>
  <c r="F678" i="53"/>
  <c r="F677" i="53"/>
  <c r="F676" i="53"/>
  <c r="F675" i="53"/>
  <c r="F674" i="53"/>
  <c r="F672" i="53"/>
  <c r="F671" i="53"/>
  <c r="F639" i="53"/>
  <c r="F638" i="53" s="1"/>
  <c r="F637" i="53"/>
  <c r="F636" i="53"/>
  <c r="F635" i="53"/>
  <c r="F634" i="53" s="1"/>
  <c r="F630" i="53"/>
  <c r="F629" i="53" s="1"/>
  <c r="F628" i="53"/>
  <c r="F627" i="53" s="1"/>
  <c r="F626" i="53" s="1"/>
  <c r="F623" i="53"/>
  <c r="F616" i="53"/>
  <c r="F615" i="53" s="1"/>
  <c r="F613" i="53"/>
  <c r="F612" i="53"/>
  <c r="F605" i="53"/>
  <c r="F604" i="53"/>
  <c r="F601" i="53"/>
  <c r="F600" i="53"/>
  <c r="F599" i="53"/>
  <c r="F598" i="53"/>
  <c r="F596" i="53"/>
  <c r="F595" i="53"/>
  <c r="F588" i="53"/>
  <c r="F587" i="53"/>
  <c r="F584" i="53"/>
  <c r="F574" i="53" s="1"/>
  <c r="F583" i="53"/>
  <c r="F571" i="53"/>
  <c r="F557" i="53"/>
  <c r="F553" i="53"/>
  <c r="F551" i="53"/>
  <c r="F543" i="53" s="1"/>
  <c r="F544" i="53"/>
  <c r="F539" i="53"/>
  <c r="F536" i="53"/>
  <c r="F534" i="53" s="1"/>
  <c r="F535" i="53"/>
  <c r="F532" i="53"/>
  <c r="F531" i="53"/>
  <c r="F518" i="53"/>
  <c r="F511" i="53"/>
  <c r="F510" i="53"/>
  <c r="F509" i="53" s="1"/>
  <c r="F508" i="53"/>
  <c r="F505" i="53"/>
  <c r="F502" i="53"/>
  <c r="F501" i="53"/>
  <c r="F492" i="53"/>
  <c r="F491" i="53"/>
  <c r="F483" i="53"/>
  <c r="F482" i="53"/>
  <c r="F481" i="53" s="1"/>
  <c r="F480" i="53" s="1"/>
  <c r="F479" i="53" s="1"/>
  <c r="F478" i="53" s="1"/>
  <c r="F476" i="53"/>
  <c r="F475" i="53"/>
  <c r="F473" i="53"/>
  <c r="F472" i="53"/>
  <c r="F471" i="53" s="1"/>
  <c r="F470" i="53" s="1"/>
  <c r="F469" i="53" s="1"/>
  <c r="F467" i="53"/>
  <c r="F463" i="53"/>
  <c r="F453" i="53"/>
  <c r="F446" i="53"/>
  <c r="F445" i="53"/>
  <c r="F444" i="53" s="1"/>
  <c r="F443" i="53" s="1"/>
  <c r="F442" i="53"/>
  <c r="F441" i="53"/>
  <c r="F440" i="53" s="1"/>
  <c r="F439" i="53"/>
  <c r="F438" i="53" s="1"/>
  <c r="F436" i="53"/>
  <c r="F433" i="53"/>
  <c r="F432" i="53"/>
  <c r="F428" i="53"/>
  <c r="F423" i="53"/>
  <c r="F412" i="53"/>
  <c r="F407" i="53"/>
  <c r="F406" i="53"/>
  <c r="F405" i="53"/>
  <c r="F404" i="53"/>
  <c r="F403" i="53"/>
  <c r="F402" i="53"/>
  <c r="F399" i="53"/>
  <c r="F397" i="53"/>
  <c r="F396" i="53" s="1"/>
  <c r="F395" i="53" s="1"/>
  <c r="F394" i="53" s="1"/>
  <c r="F393" i="53" s="1"/>
  <c r="F386" i="53"/>
  <c r="F378" i="53"/>
  <c r="F377" i="53" s="1"/>
  <c r="F358" i="53" s="1"/>
  <c r="F363" i="53"/>
  <c r="F361" i="53"/>
  <c r="F360" i="53"/>
  <c r="F359" i="53" s="1"/>
  <c r="F356" i="53"/>
  <c r="F353" i="53"/>
  <c r="F352" i="53" s="1"/>
  <c r="F351" i="53" s="1"/>
  <c r="F350" i="53" s="1"/>
  <c r="F347" i="53"/>
  <c r="F346" i="53"/>
  <c r="F345" i="53" s="1"/>
  <c r="F344" i="53" s="1"/>
  <c r="F342" i="53"/>
  <c r="F341" i="53"/>
  <c r="F340" i="53" s="1"/>
  <c r="F338" i="53"/>
  <c r="F337" i="53" s="1"/>
  <c r="F336" i="53" s="1"/>
  <c r="F334" i="53"/>
  <c r="F333" i="53"/>
  <c r="F332" i="53" s="1"/>
  <c r="F330" i="53"/>
  <c r="F329" i="53" s="1"/>
  <c r="F328" i="53" s="1"/>
  <c r="F321" i="53"/>
  <c r="F313" i="53"/>
  <c r="F312" i="53" s="1"/>
  <c r="F309" i="53"/>
  <c r="F294" i="53"/>
  <c r="F288" i="53"/>
  <c r="F280" i="53" s="1"/>
  <c r="F279" i="53" s="1"/>
  <c r="F281" i="53"/>
  <c r="F276" i="53"/>
  <c r="F275" i="53"/>
  <c r="F274" i="53" s="1"/>
  <c r="F273" i="53" s="1"/>
  <c r="F271" i="53"/>
  <c r="F270" i="53"/>
  <c r="F269" i="53" s="1"/>
  <c r="F267" i="53"/>
  <c r="F266" i="53" s="1"/>
  <c r="F265" i="53" s="1"/>
  <c r="F264" i="53" s="1"/>
  <c r="F260" i="53"/>
  <c r="F255" i="53"/>
  <c r="F254" i="53"/>
  <c r="F250" i="53"/>
  <c r="F247" i="53"/>
  <c r="F242" i="53"/>
  <c r="F241" i="53"/>
  <c r="F240" i="53" s="1"/>
  <c r="F239" i="53" s="1"/>
  <c r="F231" i="53"/>
  <c r="F230" i="53" s="1"/>
  <c r="F229" i="53" s="1"/>
  <c r="F228" i="53" s="1"/>
  <c r="F227" i="53" s="1"/>
  <c r="F225" i="53"/>
  <c r="F224" i="53"/>
  <c r="F223" i="53" s="1"/>
  <c r="F222" i="53" s="1"/>
  <c r="F220" i="53"/>
  <c r="F219" i="53"/>
  <c r="F218" i="53" s="1"/>
  <c r="F215" i="53"/>
  <c r="F214" i="53" s="1"/>
  <c r="F211" i="53"/>
  <c r="F210" i="53" s="1"/>
  <c r="F209" i="53" s="1"/>
  <c r="F204" i="53"/>
  <c r="F202" i="53"/>
  <c r="F201" i="53"/>
  <c r="F200" i="53"/>
  <c r="F199" i="53" s="1"/>
  <c r="F167" i="53"/>
  <c r="F166" i="53" s="1"/>
  <c r="F165" i="53" s="1"/>
  <c r="F164" i="53" s="1"/>
  <c r="F162" i="53"/>
  <c r="F157" i="53"/>
  <c r="F156" i="53"/>
  <c r="F155" i="53" s="1"/>
  <c r="F154" i="53" s="1"/>
  <c r="F153" i="53" s="1"/>
  <c r="F151" i="53"/>
  <c r="F146" i="53"/>
  <c r="F145" i="53"/>
  <c r="F144" i="53" s="1"/>
  <c r="F143" i="53"/>
  <c r="F140" i="53" s="1"/>
  <c r="F139" i="53" s="1"/>
  <c r="F137" i="53"/>
  <c r="F135" i="53"/>
  <c r="F133" i="53"/>
  <c r="F132" i="53"/>
  <c r="F131" i="53" s="1"/>
  <c r="F130" i="53" s="1"/>
  <c r="F129" i="53" s="1"/>
  <c r="F128" i="53" s="1"/>
  <c r="F103" i="53"/>
  <c r="F102" i="53"/>
  <c r="F101" i="53" s="1"/>
  <c r="F99" i="53"/>
  <c r="F95" i="53"/>
  <c r="F1748" i="53" s="1"/>
  <c r="F92" i="53"/>
  <c r="F88" i="53"/>
  <c r="F85" i="53"/>
  <c r="F78" i="53"/>
  <c r="F75" i="53" s="1"/>
  <c r="F68" i="53" s="1"/>
  <c r="F67" i="53" s="1"/>
  <c r="F77" i="53"/>
  <c r="F69" i="53"/>
  <c r="F64" i="53"/>
  <c r="F58" i="53"/>
  <c r="F50" i="53"/>
  <c r="F49" i="53"/>
  <c r="F46" i="53" s="1"/>
  <c r="F39" i="53"/>
  <c r="F38" i="53" s="1"/>
  <c r="F37" i="53" s="1"/>
  <c r="F36" i="53" s="1"/>
  <c r="F34" i="53"/>
  <c r="F1742" i="53" s="1"/>
  <c r="F17" i="53"/>
  <c r="F10" i="53"/>
  <c r="F9" i="53" s="1"/>
  <c r="F8" i="53" s="1"/>
  <c r="F7" i="53" s="1"/>
  <c r="F278" i="53" l="1"/>
  <c r="F238" i="53"/>
  <c r="F823" i="57"/>
  <c r="F349" i="53"/>
  <c r="F1349" i="53"/>
  <c r="F208" i="53"/>
  <c r="F207" i="53" s="1"/>
  <c r="F542" i="53"/>
  <c r="F541" i="53" s="1"/>
  <c r="F1747" i="53"/>
  <c r="F1746" i="53" s="1"/>
  <c r="F1741" i="53"/>
  <c r="F1645" i="53"/>
  <c r="F1585" i="53" s="1"/>
  <c r="F530" i="53"/>
  <c r="F529" i="53" s="1"/>
  <c r="F528" i="53" s="1"/>
  <c r="F507" i="53" s="1"/>
  <c r="F940" i="53"/>
  <c r="F939" i="53" s="1"/>
  <c r="F938" i="53" s="1"/>
  <c r="F1304" i="53"/>
  <c r="F1188" i="53" s="1"/>
  <c r="F1739" i="53"/>
  <c r="F91" i="53"/>
  <c r="F66" i="53" s="1"/>
  <c r="F6" i="53" s="1"/>
  <c r="F98" i="53"/>
  <c r="F97" i="53" s="1"/>
  <c r="F1743" i="53"/>
  <c r="F419" i="53"/>
  <c r="F411" i="53" s="1"/>
  <c r="F410" i="53" s="1"/>
  <c r="F409" i="53" s="1"/>
  <c r="F408" i="53" s="1"/>
  <c r="F490" i="53"/>
  <c r="F489" i="53" s="1"/>
  <c r="F670" i="53"/>
  <c r="F669" i="53" s="1"/>
  <c r="F668" i="53" s="1"/>
  <c r="F844" i="53"/>
  <c r="F843" i="53" s="1"/>
  <c r="F842" i="53" s="1"/>
  <c r="F810" i="53" s="1"/>
  <c r="F1749" i="53"/>
  <c r="F1111" i="53"/>
  <c r="F1110" i="53" s="1"/>
  <c r="F1156" i="53"/>
  <c r="F1155" i="53" s="1"/>
  <c r="F1100" i="53" s="1"/>
  <c r="F1734" i="53" l="1"/>
  <c r="F1740" i="53"/>
  <c r="F1738" i="53" s="1"/>
  <c r="F1737" i="53" s="1"/>
  <c r="F16" i="41" l="1"/>
  <c r="G16" i="41"/>
  <c r="F10" i="41"/>
  <c r="G10" i="41"/>
  <c r="E12" i="41"/>
  <c r="E10" i="41" s="1"/>
  <c r="E16" i="41" s="1"/>
  <c r="E11" i="41"/>
  <c r="E9" i="41"/>
  <c r="F50" i="37"/>
  <c r="F34" i="37"/>
  <c r="F31" i="37"/>
  <c r="F51" i="37"/>
  <c r="G27" i="37"/>
  <c r="F28" i="37"/>
  <c r="D182" i="50" l="1"/>
  <c r="E24" i="50"/>
  <c r="E23" i="50"/>
  <c r="E22" i="50" s="1"/>
  <c r="E21" i="50" s="1"/>
  <c r="G22" i="50"/>
  <c r="G21" i="50" s="1"/>
  <c r="F22" i="50"/>
  <c r="F21" i="50"/>
  <c r="F25" i="50" s="1"/>
  <c r="E20" i="50"/>
  <c r="E19" i="50"/>
  <c r="E18" i="50" s="1"/>
  <c r="E17" i="50" s="1"/>
  <c r="G18" i="50"/>
  <c r="G17" i="50" s="1"/>
  <c r="F18" i="50"/>
  <c r="F17" i="50"/>
  <c r="E16" i="50"/>
  <c r="E15" i="50"/>
  <c r="E14" i="50" s="1"/>
  <c r="E13" i="50" s="1"/>
  <c r="G14" i="50"/>
  <c r="G13" i="50" s="1"/>
  <c r="F14" i="50"/>
  <c r="F13" i="50"/>
  <c r="E12" i="50"/>
  <c r="E11" i="50"/>
  <c r="E10" i="50" s="1"/>
  <c r="E9" i="50" s="1"/>
  <c r="G10" i="50"/>
  <c r="G9" i="50" s="1"/>
  <c r="F10" i="50"/>
  <c r="F9" i="50"/>
  <c r="E8" i="50"/>
  <c r="E7" i="50"/>
  <c r="E6" i="50" s="1"/>
  <c r="E5" i="50" s="1"/>
  <c r="G6" i="50"/>
  <c r="G5" i="50" s="1"/>
  <c r="F6" i="50"/>
  <c r="F5" i="50"/>
  <c r="E245" i="48"/>
  <c r="G106" i="48"/>
  <c r="F106" i="48"/>
  <c r="E106" i="48"/>
  <c r="G105" i="48"/>
  <c r="F105" i="48"/>
  <c r="E105" i="48"/>
  <c r="F104" i="48"/>
  <c r="E104" i="48" s="1"/>
  <c r="K103" i="48"/>
  <c r="I103" i="48"/>
  <c r="I102" i="48" s="1"/>
  <c r="H103" i="48"/>
  <c r="K102" i="48"/>
  <c r="G101" i="48"/>
  <c r="F101" i="48"/>
  <c r="E101" i="48"/>
  <c r="G100" i="48"/>
  <c r="F100" i="48"/>
  <c r="E100" i="48"/>
  <c r="G99" i="48"/>
  <c r="F99" i="48" s="1"/>
  <c r="E99" i="48" s="1"/>
  <c r="G98" i="48"/>
  <c r="F98" i="48"/>
  <c r="E98" i="48" s="1"/>
  <c r="G97" i="48"/>
  <c r="F97" i="48"/>
  <c r="E97" i="48"/>
  <c r="G96" i="48"/>
  <c r="F96" i="48"/>
  <c r="E96" i="48"/>
  <c r="G95" i="48"/>
  <c r="F95" i="48" s="1"/>
  <c r="E95" i="48" s="1"/>
  <c r="G94" i="48"/>
  <c r="F94" i="48" s="1"/>
  <c r="E94" i="48" s="1"/>
  <c r="G93" i="48"/>
  <c r="F93" i="48"/>
  <c r="E93" i="48"/>
  <c r="G92" i="48"/>
  <c r="F92" i="48"/>
  <c r="E92" i="48"/>
  <c r="G91" i="48"/>
  <c r="F91" i="48" s="1"/>
  <c r="E91" i="48" s="1"/>
  <c r="G90" i="48"/>
  <c r="F90" i="48"/>
  <c r="E90" i="48" s="1"/>
  <c r="G89" i="48"/>
  <c r="F89" i="48"/>
  <c r="E89" i="48" s="1"/>
  <c r="G88" i="48"/>
  <c r="F88" i="48"/>
  <c r="E88" i="48"/>
  <c r="G87" i="48"/>
  <c r="F87" i="48" s="1"/>
  <c r="E87" i="48" s="1"/>
  <c r="G86" i="48"/>
  <c r="F86" i="48"/>
  <c r="E86" i="48" s="1"/>
  <c r="G85" i="48"/>
  <c r="F85" i="48"/>
  <c r="E85" i="48"/>
  <c r="G84" i="48"/>
  <c r="F84" i="48"/>
  <c r="E84" i="48"/>
  <c r="F83" i="48"/>
  <c r="E83" i="48" s="1"/>
  <c r="K82" i="48"/>
  <c r="I82" i="48"/>
  <c r="H82" i="48"/>
  <c r="G81" i="48"/>
  <c r="F81" i="48" s="1"/>
  <c r="E81" i="48" s="1"/>
  <c r="G80" i="48"/>
  <c r="F80" i="48" s="1"/>
  <c r="E80" i="48" s="1"/>
  <c r="G79" i="48"/>
  <c r="F79" i="48"/>
  <c r="E79" i="48"/>
  <c r="G78" i="48"/>
  <c r="F78" i="48"/>
  <c r="E78" i="48"/>
  <c r="G77" i="48"/>
  <c r="F77" i="48" s="1"/>
  <c r="E77" i="48" s="1"/>
  <c r="G76" i="48"/>
  <c r="F76" i="48"/>
  <c r="E76" i="48" s="1"/>
  <c r="G75" i="48"/>
  <c r="F75" i="48"/>
  <c r="E75" i="48" s="1"/>
  <c r="G74" i="48"/>
  <c r="F74" i="48"/>
  <c r="E74" i="48"/>
  <c r="G73" i="48"/>
  <c r="F73" i="48" s="1"/>
  <c r="E73" i="48" s="1"/>
  <c r="G72" i="48"/>
  <c r="F72" i="48"/>
  <c r="E72" i="48" s="1"/>
  <c r="G71" i="48"/>
  <c r="F71" i="48"/>
  <c r="E71" i="48"/>
  <c r="G70" i="48"/>
  <c r="F70" i="48"/>
  <c r="E70" i="48"/>
  <c r="G69" i="48"/>
  <c r="F69" i="48" s="1"/>
  <c r="E69" i="48" s="1"/>
  <c r="G68" i="48"/>
  <c r="F68" i="48"/>
  <c r="E68" i="48" s="1"/>
  <c r="G67" i="48"/>
  <c r="F67" i="48"/>
  <c r="E67" i="48"/>
  <c r="G66" i="48"/>
  <c r="F66" i="48"/>
  <c r="E66" i="48"/>
  <c r="G65" i="48"/>
  <c r="F65" i="48" s="1"/>
  <c r="E65" i="48" s="1"/>
  <c r="G64" i="48"/>
  <c r="F64" i="48" s="1"/>
  <c r="E64" i="48" s="1"/>
  <c r="G63" i="48"/>
  <c r="F63" i="48"/>
  <c r="E63" i="48"/>
  <c r="G62" i="48"/>
  <c r="F62" i="48"/>
  <c r="E62" i="48"/>
  <c r="G61" i="48"/>
  <c r="F61" i="48" s="1"/>
  <c r="E61" i="48" s="1"/>
  <c r="L60" i="48"/>
  <c r="K60" i="48"/>
  <c r="J60" i="48"/>
  <c r="I60" i="48"/>
  <c r="H60" i="48"/>
  <c r="H59" i="48" s="1"/>
  <c r="G60" i="48"/>
  <c r="F60" i="48" s="1"/>
  <c r="E60" i="48" s="1"/>
  <c r="K59" i="48"/>
  <c r="K107" i="48" s="1"/>
  <c r="I59" i="48"/>
  <c r="G58" i="48"/>
  <c r="F58" i="48"/>
  <c r="E58" i="48"/>
  <c r="G57" i="48"/>
  <c r="F57" i="48" s="1"/>
  <c r="E57" i="48" s="1"/>
  <c r="G56" i="48"/>
  <c r="F56" i="48"/>
  <c r="E56" i="48" s="1"/>
  <c r="G55" i="48"/>
  <c r="F55" i="48"/>
  <c r="E55" i="48"/>
  <c r="I54" i="48"/>
  <c r="H54" i="48"/>
  <c r="G54" i="48"/>
  <c r="F54" i="48"/>
  <c r="E54" i="48" s="1"/>
  <c r="G53" i="48"/>
  <c r="F53" i="48"/>
  <c r="E53" i="48"/>
  <c r="L52" i="48"/>
  <c r="I52" i="48"/>
  <c r="H52" i="48"/>
  <c r="G52" i="48"/>
  <c r="G51" i="48"/>
  <c r="F51" i="48"/>
  <c r="E51" i="48" s="1"/>
  <c r="E50" i="48" s="1"/>
  <c r="I50" i="48"/>
  <c r="G50" i="48"/>
  <c r="G49" i="48"/>
  <c r="F49" i="48"/>
  <c r="E49" i="48"/>
  <c r="G48" i="48"/>
  <c r="F48" i="48"/>
  <c r="E48" i="48"/>
  <c r="G47" i="48"/>
  <c r="F47" i="48" s="1"/>
  <c r="E47" i="48" s="1"/>
  <c r="G46" i="48"/>
  <c r="F46" i="48"/>
  <c r="E46" i="48" s="1"/>
  <c r="G45" i="48"/>
  <c r="F45" i="48"/>
  <c r="E45" i="48"/>
  <c r="I44" i="48"/>
  <c r="H44" i="48"/>
  <c r="G44" i="48"/>
  <c r="F44" i="48"/>
  <c r="E44" i="48" s="1"/>
  <c r="G43" i="48"/>
  <c r="F43" i="48"/>
  <c r="E43" i="48"/>
  <c r="G42" i="48"/>
  <c r="F42" i="48"/>
  <c r="E42" i="48"/>
  <c r="G41" i="48"/>
  <c r="F41" i="48" s="1"/>
  <c r="E41" i="48" s="1"/>
  <c r="H40" i="48"/>
  <c r="H39" i="48" s="1"/>
  <c r="G39" i="48" s="1"/>
  <c r="F39" i="48" s="1"/>
  <c r="E39" i="48" s="1"/>
  <c r="G40" i="48"/>
  <c r="F40" i="48" s="1"/>
  <c r="E40" i="48" s="1"/>
  <c r="I39" i="48"/>
  <c r="E38" i="48"/>
  <c r="G37" i="48"/>
  <c r="F37" i="48"/>
  <c r="E37" i="48"/>
  <c r="L36" i="48"/>
  <c r="L29" i="48" s="1"/>
  <c r="I36" i="48"/>
  <c r="G36" i="48"/>
  <c r="F36" i="48"/>
  <c r="E36" i="48"/>
  <c r="G35" i="48"/>
  <c r="F35" i="48"/>
  <c r="E35" i="48"/>
  <c r="G34" i="48"/>
  <c r="F34" i="48" s="1"/>
  <c r="E34" i="48" s="1"/>
  <c r="G33" i="48"/>
  <c r="F33" i="48"/>
  <c r="E33" i="48" s="1"/>
  <c r="G32" i="48"/>
  <c r="F32" i="48"/>
  <c r="E32" i="48" s="1"/>
  <c r="I31" i="48"/>
  <c r="H31" i="48"/>
  <c r="G31" i="48"/>
  <c r="F31" i="48" s="1"/>
  <c r="E31" i="48" s="1"/>
  <c r="G30" i="48"/>
  <c r="F30" i="48"/>
  <c r="E30" i="48"/>
  <c r="I29" i="48"/>
  <c r="H29" i="48"/>
  <c r="G29" i="48"/>
  <c r="F29" i="48" s="1"/>
  <c r="G28" i="48"/>
  <c r="G26" i="48" s="1"/>
  <c r="F27" i="48"/>
  <c r="E27" i="48"/>
  <c r="J26" i="48"/>
  <c r="J107" i="48" s="1"/>
  <c r="I26" i="48"/>
  <c r="G25" i="48"/>
  <c r="F25" i="48"/>
  <c r="E25" i="48"/>
  <c r="E24" i="48"/>
  <c r="G23" i="48"/>
  <c r="F23" i="48"/>
  <c r="E23" i="48"/>
  <c r="G22" i="48"/>
  <c r="F22" i="48" s="1"/>
  <c r="E22" i="48" s="1"/>
  <c r="G21" i="48"/>
  <c r="F21" i="48" s="1"/>
  <c r="E21" i="48" s="1"/>
  <c r="G20" i="48"/>
  <c r="F20" i="48"/>
  <c r="E20" i="48"/>
  <c r="G19" i="48"/>
  <c r="F19" i="48"/>
  <c r="E19" i="48"/>
  <c r="G18" i="48"/>
  <c r="F18" i="48" s="1"/>
  <c r="E18" i="48" s="1"/>
  <c r="G17" i="48"/>
  <c r="F17" i="48"/>
  <c r="E17" i="48" s="1"/>
  <c r="G16" i="48"/>
  <c r="F16" i="48" s="1"/>
  <c r="E16" i="48" s="1"/>
  <c r="G15" i="48"/>
  <c r="F15" i="48"/>
  <c r="E15" i="48" s="1"/>
  <c r="G14" i="48"/>
  <c r="F14" i="48" s="1"/>
  <c r="E14" i="48"/>
  <c r="G13" i="48"/>
  <c r="F13" i="48" s="1"/>
  <c r="E13" i="48" s="1"/>
  <c r="G12" i="48"/>
  <c r="F12" i="48"/>
  <c r="E12" i="48"/>
  <c r="G11" i="48"/>
  <c r="F11" i="48"/>
  <c r="E11" i="48"/>
  <c r="G10" i="48"/>
  <c r="F10" i="48" s="1"/>
  <c r="E10" i="48" s="1"/>
  <c r="G9" i="48"/>
  <c r="F9" i="48"/>
  <c r="E9" i="48" s="1"/>
  <c r="F8" i="48"/>
  <c r="E8" i="48" s="1"/>
  <c r="L7" i="48"/>
  <c r="K7" i="48"/>
  <c r="I7" i="48"/>
  <c r="I6" i="48" s="1"/>
  <c r="G6" i="48" s="1"/>
  <c r="H7" i="48"/>
  <c r="L6" i="48"/>
  <c r="K6" i="48"/>
  <c r="H6" i="48"/>
  <c r="D163" i="47"/>
  <c r="E45" i="47"/>
  <c r="E44" i="47"/>
  <c r="E42" i="47"/>
  <c r="E40" i="47"/>
  <c r="E39" i="47"/>
  <c r="E37" i="47"/>
  <c r="E34" i="47" s="1"/>
  <c r="E35" i="47"/>
  <c r="E32" i="47"/>
  <c r="E31" i="47"/>
  <c r="E29" i="47"/>
  <c r="E27" i="47"/>
  <c r="E26" i="47"/>
  <c r="E23" i="47"/>
  <c r="E18" i="47" s="1"/>
  <c r="E21" i="47"/>
  <c r="E19" i="47"/>
  <c r="E16" i="47"/>
  <c r="E13" i="47" s="1"/>
  <c r="E14" i="47"/>
  <c r="E11" i="47"/>
  <c r="E8" i="47"/>
  <c r="E7" i="47" s="1"/>
  <c r="E25" i="50" l="1"/>
  <c r="G25" i="50"/>
  <c r="L107" i="48"/>
  <c r="E29" i="48"/>
  <c r="F50" i="48"/>
  <c r="G103" i="48"/>
  <c r="F103" i="48" s="1"/>
  <c r="H102" i="48"/>
  <c r="G7" i="48"/>
  <c r="F7" i="48" s="1"/>
  <c r="E52" i="48"/>
  <c r="I107" i="48"/>
  <c r="F28" i="48"/>
  <c r="F52" i="48"/>
  <c r="G59" i="48"/>
  <c r="F59" i="48" s="1"/>
  <c r="E59" i="48" s="1"/>
  <c r="G82" i="48"/>
  <c r="F82" i="48" s="1"/>
  <c r="E82" i="48" s="1"/>
  <c r="E47" i="47"/>
  <c r="F102" i="48" l="1"/>
  <c r="E103" i="48"/>
  <c r="E7" i="48"/>
  <c r="E6" i="48" s="1"/>
  <c r="F6" i="48"/>
  <c r="E28" i="48"/>
  <c r="E26" i="48" s="1"/>
  <c r="F26" i="48"/>
  <c r="H107" i="48"/>
  <c r="G102" i="48"/>
  <c r="G107" i="48" s="1"/>
  <c r="E102" i="48" l="1"/>
  <c r="E107" i="48" s="1"/>
  <c r="F107" i="48"/>
  <c r="E13" i="41" l="1"/>
  <c r="F13" i="41"/>
  <c r="G13" i="41"/>
  <c r="E15" i="41"/>
  <c r="G8" i="41"/>
  <c r="E14" i="41"/>
  <c r="I17" i="43"/>
  <c r="G21" i="37"/>
  <c r="C17" i="44" l="1"/>
  <c r="C7" i="44"/>
  <c r="C24" i="44" s="1"/>
  <c r="D24" i="44"/>
  <c r="H16" i="41" l="1"/>
  <c r="C4" i="44" l="1"/>
  <c r="D4" i="44"/>
  <c r="D7" i="44"/>
  <c r="C15" i="44"/>
  <c r="D15" i="44"/>
  <c r="D17" i="44"/>
  <c r="C22" i="44"/>
  <c r="D22" i="44"/>
  <c r="J7" i="43"/>
  <c r="J6" i="43" s="1"/>
  <c r="H16" i="43"/>
  <c r="H18" i="43" s="1"/>
  <c r="I16" i="43"/>
  <c r="J16" i="43"/>
  <c r="K16" i="43"/>
  <c r="G17" i="43"/>
  <c r="G16" i="43" s="1"/>
  <c r="G18" i="43" s="1"/>
  <c r="I18" i="43"/>
  <c r="J18" i="43"/>
  <c r="K18" i="43"/>
  <c r="F7" i="42"/>
  <c r="G7" i="42"/>
  <c r="G9" i="42" s="1"/>
  <c r="E8" i="42"/>
  <c r="E7" i="42" s="1"/>
  <c r="E9" i="42" s="1"/>
  <c r="F9" i="42"/>
  <c r="F8" i="41"/>
  <c r="E8" i="41"/>
  <c r="D6" i="40"/>
  <c r="E6" i="40"/>
  <c r="F13" i="37"/>
  <c r="F16" i="37"/>
  <c r="F33" i="37"/>
  <c r="G22" i="37" l="1"/>
  <c r="F22" i="37"/>
  <c r="F17" i="43"/>
  <c r="F16" i="43" s="1"/>
  <c r="F18" i="43" s="1"/>
  <c r="J10" i="43"/>
</calcChain>
</file>

<file path=xl/sharedStrings.xml><?xml version="1.0" encoding="utf-8"?>
<sst xmlns="http://schemas.openxmlformats.org/spreadsheetml/2006/main" count="4727" uniqueCount="1100">
  <si>
    <t>Dział</t>
  </si>
  <si>
    <t>Rozdział</t>
  </si>
  <si>
    <t>w tym:</t>
  </si>
  <si>
    <t>75075</t>
  </si>
  <si>
    <t>750</t>
  </si>
  <si>
    <t>Paragraf</t>
  </si>
  <si>
    <t>Promocja jednostek samorządu terytorialnego</t>
  </si>
  <si>
    <t>600</t>
  </si>
  <si>
    <t>60003</t>
  </si>
  <si>
    <t>2630</t>
  </si>
  <si>
    <t>854</t>
  </si>
  <si>
    <t>85420</t>
  </si>
  <si>
    <t>Młodzieżowe ośrodki wychowawcze</t>
  </si>
  <si>
    <t>921</t>
  </si>
  <si>
    <t>92116</t>
  </si>
  <si>
    <t>Biblioteki</t>
  </si>
  <si>
    <t>2330</t>
  </si>
  <si>
    <t>dotacje na zadania bieżące</t>
  </si>
  <si>
    <t>Lp.</t>
  </si>
  <si>
    <t>DOCHODY OGÓŁEM</t>
  </si>
  <si>
    <t>KULTURA I OCHRONA DZIEDZICTWA NARODOWEGO</t>
  </si>
  <si>
    <t>ADMINISTRACJA PUBLICZNA</t>
  </si>
  <si>
    <t>majątkowe</t>
  </si>
  <si>
    <t>bieżące</t>
  </si>
  <si>
    <t>w złotych</t>
  </si>
  <si>
    <t>OGÓŁEM</t>
  </si>
  <si>
    <t>2. Dotacje dla jednostek spoza sektora finansów publicznych</t>
  </si>
  <si>
    <t>1. Dotacje dla jednostek sektora finansów publicznych</t>
  </si>
  <si>
    <t xml:space="preserve"> OGÓŁEM</t>
  </si>
  <si>
    <t>Razem: ZAZ</t>
  </si>
  <si>
    <t>Zakład Aktywności Zawodowej w Woli Żyrakowskiej</t>
  </si>
  <si>
    <t>Zakład Aktywności Zawodowej w Woli Dalszej</t>
  </si>
  <si>
    <t>Zakład Aktywności Zawodowej w Jarosławiu</t>
  </si>
  <si>
    <t>Zakład Aktywności Zawodowej w Woli Rafałowskiej</t>
  </si>
  <si>
    <t>Zakład Aktywności Zawodowej w Nowej Sarzynie</t>
  </si>
  <si>
    <t>Zakład Aktywności Zawodowej w Rymanowie Zdroju</t>
  </si>
  <si>
    <t>Kwota 
w złotych</t>
  </si>
  <si>
    <t>Nazwa jednostki</t>
  </si>
  <si>
    <t>Zakład Aktywności Zawodowej w Maliniu</t>
  </si>
  <si>
    <t>Razem: SPZOZ</t>
  </si>
  <si>
    <t xml:space="preserve">Wojewódzki Ośrodek Medycyny Pracy w Rzeszowie </t>
  </si>
  <si>
    <t>Razem: Szpitale ogólne</t>
  </si>
  <si>
    <t>Podkarpackie Centrum Chorób Płuc w Rzeszowie</t>
  </si>
  <si>
    <t>Wojewódzki Szpital im. Jana Pawła II w Krośnie</t>
  </si>
  <si>
    <t>Razem: Instytucje kultury</t>
  </si>
  <si>
    <t>Wojewódzka i Miejska Biblioteka Publiczna 
w Rzeszowie</t>
  </si>
  <si>
    <t>Arboretum i Zakład Fizjografii w Bolestraszycach</t>
  </si>
  <si>
    <t>Galeria Sztuki Współczesnej w Przemyślu</t>
  </si>
  <si>
    <t>Filharmonia Podkarpacka im. A. Malawskiego w Rzeszowie</t>
  </si>
  <si>
    <t>Teatr im. W. Siemaszkowej w Rzeszowie</t>
  </si>
  <si>
    <t>Razem: Domy kultury</t>
  </si>
  <si>
    <t>Centrum Kulturalne w Przemyślu</t>
  </si>
  <si>
    <t>Wojewódzki Dom Kultury w Rzeszowie</t>
  </si>
  <si>
    <t>Razem: Muzea</t>
  </si>
  <si>
    <t>Muzeum Marii Konopnickiej w Żarnowcu</t>
  </si>
  <si>
    <t>Muzeum Budownictwa Ludowego w Sanoku</t>
  </si>
  <si>
    <t>Muzeum Narodowe Ziemi Przemyskiej  w  Przemyślu</t>
  </si>
  <si>
    <t xml:space="preserve">Muzeum Kultury Ludowej w Kolbuszowej </t>
  </si>
  <si>
    <t>Muzeum Podkarpackie w Krośnie</t>
  </si>
  <si>
    <t>Muzeum Okręgowe w Rzeszowie</t>
  </si>
  <si>
    <t>Muzeum Zamek w Łańcucie</t>
  </si>
  <si>
    <t xml:space="preserve">SZCZEGÓŁOWY PODZIAŁ DOTACJI PODMIOTOWYCH  
DLA JEDNOSTEK SEKTORA FINANSÓW PUBLICZNYCH I JEDNOSTKEK SPOZA SEKTORA FINANSÓW PUBLICZNYCH  </t>
  </si>
  <si>
    <t>w tym wydatki:</t>
  </si>
  <si>
    <t>w  złotych</t>
  </si>
  <si>
    <t xml:space="preserve">OGÓŁEM </t>
  </si>
  <si>
    <t xml:space="preserve">Wydatki  bieżące </t>
  </si>
  <si>
    <t xml:space="preserve">Zakres </t>
  </si>
  <si>
    <t>w  tym :  DOTACJE</t>
  </si>
  <si>
    <t xml:space="preserve"> WYKAZ DOTACJI  PRZEDMIOTOWYCH DLA JEDNOSTEK SPOZA SEKTORA FINANSÓW PUBLICZNYCH</t>
  </si>
  <si>
    <t>WYDATKI OGÓŁEM</t>
  </si>
  <si>
    <t>Powiat Lubaczowski</t>
  </si>
  <si>
    <t>EDUKACYJNA OPIEKA WYCHOWAWCZA</t>
  </si>
  <si>
    <t>Przeznaczenie</t>
  </si>
  <si>
    <t>Jednostka samorządu</t>
  </si>
  <si>
    <t>Nazwa</t>
  </si>
  <si>
    <t>Realizacja  porozumienia dotyczącego dofinansowania zadań związanych z funkcjonowaniem Domu Polski Wschodniej w Brukseli</t>
  </si>
  <si>
    <t>Województwo Warmińsko-Mazurskie</t>
  </si>
  <si>
    <t xml:space="preserve">WYKAZ DOTACJI CELOWYCH NA ZADANIA POWIERZONE DO REALIZACJI 
INNYM JEDNOSTKOM SAMORZĄDU TERYTORIALNEGO </t>
  </si>
  <si>
    <t>.</t>
  </si>
  <si>
    <t>KULTURA I OCHRONA 
DZIEDZICTWA NARODOWEGO</t>
  </si>
  <si>
    <t>pozostałe 
wydatki bieżące</t>
  </si>
  <si>
    <t>wynagrodzenia 
i składki od nich naliczane</t>
  </si>
  <si>
    <t>Wydatki 
majątkowe</t>
  </si>
  <si>
    <t>Wydatki 
bieżące</t>
  </si>
  <si>
    <t>Wydatki 
OGÓŁEM</t>
  </si>
  <si>
    <t xml:space="preserve">WYDATKI  NA  ZADANIA  REALIZOWANE  NA  PODSTAWIE  POROZUMIEŃ  
Z  JEDNOSTKAMI  SAMORZĄDU  TERYTORIALNEGO  </t>
  </si>
  <si>
    <t>Kwota</t>
  </si>
  <si>
    <t xml:space="preserve">Rozdział </t>
  </si>
  <si>
    <t xml:space="preserve">DOCHODY Z TYTUŁU DOTACJI OTRZYMANYCH NA PODSTAWIE POROZUMIEŃ 
Z JEDNOSTKAMI SAMORZĄDU TERYTORIALNEGO  </t>
  </si>
  <si>
    <t xml:space="preserve">ZESTAWIENIE  DOCHODÓW  I  WYDATKÓW  ZWIĄZANYCH  
Z  REALIZACJĄ  ZADAŃ  WSPÓLNYCH  REALIZOWANYCH  NA  PODSTAWIE 
POROZUMIEŃ  MIĘDZY  JEDNOSTKAMI  SAMORZĄDU  TERYTORIALNEGO </t>
  </si>
  <si>
    <t xml:space="preserve">       OGÓŁEM </t>
  </si>
  <si>
    <t>Rozdział 85410</t>
  </si>
  <si>
    <t xml:space="preserve">Biblioteka  Pedagogiczna  w  Tarnobrzegu  </t>
  </si>
  <si>
    <t>Pedagogiczna  Biblioteka  Wojewódzka  w  Przemyślu</t>
  </si>
  <si>
    <t>Pedagogiczna  Biblioteka  Wojewódzka  w  Krośnie</t>
  </si>
  <si>
    <t>Pedagogiczna  Biblioteka  Wojewódzka  w Rzeszowie</t>
  </si>
  <si>
    <t>Rozdział 80147</t>
  </si>
  <si>
    <t>Podkarpacke Centrum Edukacji  Nauczycieli w Rzeszowie</t>
  </si>
  <si>
    <t>Rozdział 80146</t>
  </si>
  <si>
    <t>Rozdział 80130</t>
  </si>
  <si>
    <t>Zespół  Szkół  Specjalnych  w  Rymanowie  Zdroju</t>
  </si>
  <si>
    <t>Rozdział 80102</t>
  </si>
  <si>
    <t>Wydatki</t>
  </si>
  <si>
    <t>Dochody</t>
  </si>
  <si>
    <t>Nazwa  jednostki</t>
  </si>
  <si>
    <t xml:space="preserve">PLAN DOCHODÓW GROMADZONYCH NA WYODRĘBNIONYM RACHUNKU PRZEZ WOJEWÓDZKIE OŚWIATOWE JEDNOSTKI BUDŻETOWE, 
ORAZ WYDATKÓW NIMI FINANSOWANYCH </t>
  </si>
  <si>
    <t>Zakład Aktywności Zawodowej w Starych Oleszycach</t>
  </si>
  <si>
    <t>Medyczno-Społeczne Centrum Kształcenia Zawodowego 
i Ustawicznego w Rzeszowie</t>
  </si>
  <si>
    <t>Medyczno-Społeczne Centrum Kształcenia Zawodowego 
i Ustawicznego w Stalowej  Woli</t>
  </si>
  <si>
    <t>Medyczno-Społeczne Centrum Kształcenia Zawodowego 
i Ustawicznego w Przemyślu</t>
  </si>
  <si>
    <t>Medyczno-Społeczne Centrum Kształcenia Zawodowego 
i Ustawicznego w Jaśle</t>
  </si>
  <si>
    <t xml:space="preserve">Medyczno-Społeczne Centrum Kształcenia Zawodowego 
i Ustawicznego w Sanoku                         </t>
  </si>
  <si>
    <t xml:space="preserve">Medyczno-Społeczne Centrum Kształcenia Zawodowego 
i Ustawicznego w Łańcucie                        </t>
  </si>
  <si>
    <t xml:space="preserve">Medyczno-Społeczne Centrum Kształcenia Zawodowego 
i Ustawicznego w Mielcu                         </t>
  </si>
  <si>
    <t xml:space="preserve">Wojewódzki Szpital im. Św. Ojca Pio w Przemyślu  </t>
  </si>
  <si>
    <t>Wydatki związane z prowadzeniem przez Powiat Lubaczowski Młodzieżowego Ośrodka Wychowawczego wchodzącego w skład Zespołu Placówek im. Jana Pawła II 
w Lubaczowie</t>
  </si>
  <si>
    <t xml:space="preserve">Dopłaty do krajowych autobusowych przewozów pasażerskich z tytułu stosowania w tych przewozach obowiązujacych ulg ustawowych </t>
  </si>
  <si>
    <t>Medyczno-Społeczne Centrum Kształcenia Zawodowego 
i Ustawicznego  w  Rzeszowie</t>
  </si>
  <si>
    <t xml:space="preserve">Zespół Szkół  przy Klinicznym Szpitalu Wojewódzkim Nr 2 w  Rzeszowie                 </t>
  </si>
  <si>
    <t>Zakład Aktywności Zawodowej Nr 1 w Krośnie</t>
  </si>
  <si>
    <t xml:space="preserve">Zakład Aktywności Zawodowej Nr 2 w Krośnie </t>
  </si>
  <si>
    <t>Zakład Aktywności Zawodowej w Rzeszowie (ul. Rejtana 10)</t>
  </si>
  <si>
    <t>Zakład Aktywności Zawodowej w Rzeszowie (ul. Rejtana 21)</t>
  </si>
  <si>
    <t>Zakład Aktywności Zawodowej w Jaśle</t>
  </si>
  <si>
    <t xml:space="preserve">Kliniczny Szpital Wojewódzki Nr 2 im. Św. Jadwigi Królowej w Rzeszowie </t>
  </si>
  <si>
    <t xml:space="preserve">Kliniczny Szpital Wojewódzki Nr 1 im. Fryderyka Chopina w Rzeszowie </t>
  </si>
  <si>
    <t>92118</t>
  </si>
  <si>
    <t>Powiat Sanocki</t>
  </si>
  <si>
    <t>92195</t>
  </si>
  <si>
    <t>Pozostała działalność</t>
  </si>
  <si>
    <t>Muzea</t>
  </si>
  <si>
    <t>Gmina Zarszyn</t>
  </si>
  <si>
    <t>WYDATKI  NA  POMOC  FINANSOWĄ  UDZIELANĄ  INNYM  JEDNOSTKOM  SAMORZĄDU  TERYTORIALNEGO
NA  DOFINANSOWANIE  WŁASNYCH ZADAŃ BIEŻĄCYCH ORAZ ZADAŃ INWESTYCYJNYCH I ZAKUPÓW INWESTYCYJNYCH</t>
  </si>
  <si>
    <t>Modernizacja Domu Ludowego w Pastwiskach i zaadoptowania jego części na Regionalne Centrum Pamięci Kardynała Karola Wojtyły w Pastwiskach</t>
  </si>
  <si>
    <t>Plan wydatków na 2016 r. według działów, rozdziałów, paragrafów klasyfikacji budżetowej</t>
  </si>
  <si>
    <t>Wyszczególnienie</t>
  </si>
  <si>
    <t>Plan na 2016 r.</t>
  </si>
  <si>
    <t>1.</t>
  </si>
  <si>
    <t>2.</t>
  </si>
  <si>
    <t>3.</t>
  </si>
  <si>
    <t>4.</t>
  </si>
  <si>
    <t>5.</t>
  </si>
  <si>
    <t>010</t>
  </si>
  <si>
    <t>Rolnictwo i łowiectwo</t>
  </si>
  <si>
    <t>01004</t>
  </si>
  <si>
    <t>Biura geodezji i terenów rolnych</t>
  </si>
  <si>
    <t>wydatki bieżące:</t>
  </si>
  <si>
    <t>wydatki jednostek budżetowych w tym na:</t>
  </si>
  <si>
    <t xml:space="preserve"> - wynagrodzenia i składki od nich naliczane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</si>
  <si>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</si>
  <si>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</si>
  <si>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</si>
  <si>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</si>
  <si>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</si>
  <si>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</si>
  <si>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</si>
  <si>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</t>
  </si>
  <si>
    <t>4170</t>
  </si>
  <si>
    <t>Wynagrodzenia bezosobowe</t>
  </si>
  <si>
    <t xml:space="preserve"> - wydatki związane z realizacją zadań statutowych jednostek budżetowych</t>
  </si>
  <si>
    <t>4140</t>
  </si>
  <si>
    <t>Wpłaty na Państwowy Fundusz Rehabilitacji Osób Niepełnosprawnych</t>
  </si>
  <si>
    <t>4210</t>
  </si>
  <si>
    <t>Zakup materiałów i wyposażenia</t>
  </si>
  <si>
    <t>4260</t>
  </si>
  <si>
    <t>Zakup energii</t>
  </si>
  <si>
    <t>4270</t>
  </si>
  <si>
    <t>Zakup usług remontowych</t>
  </si>
  <si>
    <t>4280</t>
  </si>
  <si>
    <t>Zakup usług zdrowotnych</t>
  </si>
  <si>
    <t>4300</t>
  </si>
  <si>
    <t>Zakup usług pozostałych</t>
  </si>
  <si>
    <t>4360</t>
  </si>
  <si>
    <t>Opłaty z tytułu zakupu usług telekomunikacyjnych</t>
  </si>
  <si>
    <t>4400</t>
  </si>
  <si>
    <t>Opłaty za administrowanie i czynsze za budynki, lokale i pomieszczenia garażowe</t>
  </si>
  <si>
    <t>4410</t>
  </si>
  <si>
    <t>Podróże służbowe krajowe</t>
  </si>
  <si>
    <t>4430</t>
  </si>
  <si>
    <t>Różne opłaty i składki</t>
  </si>
  <si>
    <t>4440</t>
  </si>
  <si>
    <t>Odpisy na zakładowy fundusz świadczeń socjalnych</t>
  </si>
  <si>
    <t>4480</t>
  </si>
  <si>
    <t>Podatek od nieruchomości</t>
  </si>
  <si>
    <t>4510</t>
  </si>
  <si>
    <t>Opłaty na rzecz budżetu państwa</t>
  </si>
  <si>
    <t>4520</t>
  </si>
  <si>
    <t>Opłaty na rzecz budżetów jednostek samorządu terytorialnego</t>
  </si>
  <si>
    <t>4700</t>
  </si>
  <si>
    <t xml:space="preserve">Szkolenia pracowników niebędących członkami korpusu służby cywilnej </t>
  </si>
  <si>
    <t>świadczenia na rzecz osób fizycznych:</t>
  </si>
  <si>
    <t>3020</t>
  </si>
  <si>
    <t>Wydatki osobowe niezaliczone do wynagrodzeń</t>
  </si>
  <si>
    <t>01006</t>
  </si>
  <si>
    <t>Zarządy melioracji i urządzeń wodnych</t>
  </si>
  <si>
    <t>4610</t>
  </si>
  <si>
    <t>Koszty postępowania sądowego i prokuratorskiego</t>
  </si>
  <si>
    <t>01008</t>
  </si>
  <si>
    <t>Melioracje wodne</t>
  </si>
  <si>
    <t>Opłaty z tytułu zakupu usług telekomunikacyjnych świadczonych w ruchomej publicznej sieci telefonicznej</t>
  </si>
  <si>
    <t>4500</t>
  </si>
  <si>
    <t>Pozostałe podatki na rzecz budżetów jednostek samorządu terytorialnego</t>
  </si>
  <si>
    <t>wydatki majątkowe:</t>
  </si>
  <si>
    <t>inwestycje i zakupy inwestycyjne</t>
  </si>
  <si>
    <t>6050</t>
  </si>
  <si>
    <t>Wydatki inwestycyjne jednostek budżetowych</t>
  </si>
  <si>
    <t>- wydatki na programy finansowane z udziałem środków UE i źródeł zagranicznych</t>
  </si>
  <si>
    <t>01009</t>
  </si>
  <si>
    <t>Spółki wodne</t>
  </si>
  <si>
    <t>dotacje na zadania bieżące:</t>
  </si>
  <si>
    <t>2830</t>
  </si>
  <si>
    <t>Dotacja celowa z budżetu na finansowanie lub dofinansowanie zadań zleconych do realizacji pozostałym jednostkom nie zaliczanym do sektora finansów publicznych</t>
  </si>
  <si>
    <t>01041</t>
  </si>
  <si>
    <t>wydatki na programy finansowane z udziałem środków UE i źródeł zagranicznych</t>
  </si>
  <si>
    <t>4018</t>
  </si>
  <si>
    <t>4019</t>
  </si>
  <si>
    <t>4048</t>
  </si>
  <si>
    <t>4049</t>
  </si>
  <si>
    <t>4118</t>
  </si>
  <si>
    <t>4119</t>
  </si>
  <si>
    <t>4128</t>
  </si>
  <si>
    <t>4129</t>
  </si>
  <si>
    <t>4178</t>
  </si>
  <si>
    <t>4179</t>
  </si>
  <si>
    <t>4198</t>
  </si>
  <si>
    <t>Nagrody konkursowe</t>
  </si>
  <si>
    <t>4199</t>
  </si>
  <si>
    <t>4218</t>
  </si>
  <si>
    <t>4219</t>
  </si>
  <si>
    <t>4278</t>
  </si>
  <si>
    <t>4279</t>
  </si>
  <si>
    <t>4308</t>
  </si>
  <si>
    <t>4309</t>
  </si>
  <si>
    <t>4418</t>
  </si>
  <si>
    <t>4419</t>
  </si>
  <si>
    <t>4438</t>
  </si>
  <si>
    <t>4439</t>
  </si>
  <si>
    <t>4708</t>
  </si>
  <si>
    <t>4709</t>
  </si>
  <si>
    <t>01042</t>
  </si>
  <si>
    <t>Wyłączenie z produkcji gruntów rolnych</t>
  </si>
  <si>
    <t>2310</t>
  </si>
  <si>
    <t>Dotacje celowe przekazane gminie na zadania bieżące realizowane na podstawie porozumień (umów) między jednostkami samorządu terytorialnego</t>
  </si>
  <si>
    <t>2320</t>
  </si>
  <si>
    <t>Dotacje celowe przekazane dla powiatu na zadania bieżące realizowane na podstawie porozumień (umów) między jednostkami samorządu terytorialnego</t>
  </si>
  <si>
    <t>6060</t>
  </si>
  <si>
    <t>Wydatki na zakupy inwestycyjne jednostek budżetowych</t>
  </si>
  <si>
    <t>6610</t>
  </si>
  <si>
    <t>Dotacje celowe przekazane gminie na inwestycje i zakupy inwestycyjne realizowane na podstawie porozumień (umów) między jednostkami samorządu terytorialnego</t>
  </si>
  <si>
    <t>6620</t>
  </si>
  <si>
    <t>Dotacje celowe przekazane dla powiatu na inwestycje i zakupy inwestycyjne realizowane na podstawie porozumień (umów) między jednostkami samorządu terytorialnego</t>
  </si>
  <si>
    <t>01078</t>
  </si>
  <si>
    <t>Usuwanie skutków klęsk żywiołowych</t>
  </si>
  <si>
    <t>6059</t>
  </si>
  <si>
    <t>01095</t>
  </si>
  <si>
    <t>PROW - 475.000</t>
  </si>
  <si>
    <t>RG - 488.300</t>
  </si>
  <si>
    <t>4390</t>
  </si>
  <si>
    <t>Zakup usług obejmujących wykonanie ekspertyz, analiz i opinii</t>
  </si>
  <si>
    <t>4590</t>
  </si>
  <si>
    <t>Kary i odszkodowania wypłacane na rzecz osób fizycznych</t>
  </si>
  <si>
    <t>2360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</si>
  <si>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</si>
  <si>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050</t>
  </si>
  <si>
    <t>Rybołówstwo i rybactwo</t>
  </si>
  <si>
    <t>05011</t>
  </si>
  <si>
    <t>4350</t>
  </si>
  <si>
    <t>Zakup usług dostępu do sieci Internet</t>
  </si>
  <si>
    <t>4358</t>
  </si>
  <si>
    <t>4359</t>
  </si>
  <si>
    <t>4368</t>
  </si>
  <si>
    <t>4369</t>
  </si>
  <si>
    <t xml:space="preserve"> inwestycje i zakupy inwestycyjne</t>
  </si>
  <si>
    <t>6068</t>
  </si>
  <si>
    <t>6069</t>
  </si>
  <si>
    <t>150</t>
  </si>
  <si>
    <t>Przetwórstwo przemysłowe</t>
  </si>
  <si>
    <t>15011</t>
  </si>
  <si>
    <t>Rozwój przedsiębiorczości</t>
  </si>
  <si>
    <t>2009</t>
  </si>
  <si>
    <t>Dotacje celowe w ramach programów finansowanych z udziałem środków europejskich oraz środków, o których mowa w art. 5 ust. 1 pkt. 3 oraz ust. 3 pkt. 5 i 6 ustawy, lub płatności w ramach budżetu środków europejskich</t>
  </si>
  <si>
    <t>RR - 884.490</t>
  </si>
  <si>
    <t>2059</t>
  </si>
  <si>
    <t>Dotacje celowe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</si>
  <si>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6209</t>
  </si>
  <si>
    <t>6259</t>
  </si>
  <si>
    <t>15013</t>
  </si>
  <si>
    <t>Rozwój kadr nowoczesnej gospodarki i przedsiębiorczości</t>
  </si>
  <si>
    <t>400</t>
  </si>
  <si>
    <t>Wytwarzanie i zaopatrywanie w energię elektryczną, gaz i wodę</t>
  </si>
  <si>
    <t>40001</t>
  </si>
  <si>
    <t>Dostarczanie ciepła</t>
  </si>
  <si>
    <t xml:space="preserve"> - inwestycyjne i zakupy inwestycyjne</t>
  </si>
  <si>
    <t>500</t>
  </si>
  <si>
    <t>Handel</t>
  </si>
  <si>
    <t>50005</t>
  </si>
  <si>
    <t>Promocja eksportu</t>
  </si>
  <si>
    <t>4397</t>
  </si>
  <si>
    <t>4399</t>
  </si>
  <si>
    <t>Transport i łączność</t>
  </si>
  <si>
    <t>60001</t>
  </si>
  <si>
    <t>Krajowe pasażerskie przewozy kolejowe</t>
  </si>
  <si>
    <t>Dotacja celowa z budżetu na finansowanie lub dofinansowanie zadań zleconych do realizacji pozostałym jednostkom niezaliczanym do sektora finansów publicznych</t>
  </si>
  <si>
    <t>6067</t>
  </si>
  <si>
    <t>60002</t>
  </si>
  <si>
    <t>Infrastruktura kolejowa</t>
  </si>
  <si>
    <t>Krajowe pasażerskie przewozy autobusowe</t>
  </si>
  <si>
    <t xml:space="preserve">Dotacja przedmiotowa z budżetu dla jednostek niezaliczanych do sektora finansów publicznych </t>
  </si>
  <si>
    <t>60004</t>
  </si>
  <si>
    <t>Lokalny transport zbiorowy</t>
  </si>
  <si>
    <t>60013</t>
  </si>
  <si>
    <t>Drogi publiczne wojewódzkie</t>
  </si>
  <si>
    <t>RG - 20.000</t>
  </si>
  <si>
    <t>DT - 12.751.833</t>
  </si>
  <si>
    <t>4420</t>
  </si>
  <si>
    <t>Podróże służbowe zagraniczne</t>
  </si>
  <si>
    <t>6057</t>
  </si>
  <si>
    <t>60014</t>
  </si>
  <si>
    <t>Drogi publiczne powiatowe</t>
  </si>
  <si>
    <t>Wydatki majątkowe:</t>
  </si>
  <si>
    <t>6300</t>
  </si>
  <si>
    <t>Dotacja celowa na pomoc finansową  udzielaną między jednostkami samorządu terytorialnego na dofinansowanie własnych zadan inwestycyjnych i zakupów inwestycyjnych</t>
  </si>
  <si>
    <t>60015</t>
  </si>
  <si>
    <t>Drogi publiczne w miastach na prawach powiatu</t>
  </si>
  <si>
    <t>60016</t>
  </si>
  <si>
    <t>Drogi publiczne gminne</t>
  </si>
  <si>
    <t>60078</t>
  </si>
  <si>
    <t>60095</t>
  </si>
  <si>
    <t>630</t>
  </si>
  <si>
    <t>Turystyka</t>
  </si>
  <si>
    <t>63003</t>
  </si>
  <si>
    <t>Zadania w zakresie upowszechniania turystyki</t>
  </si>
  <si>
    <t xml:space="preserve">Dotacje celowe z budżetu jednostki samorządu terytorialnego, udzielone w trybie art.. 221 ustawy, na finansowanie lub dofinansowanie zadań zleconych do realizacji organizacjom prowadzącym działalność pożytku publicznego </t>
  </si>
  <si>
    <t>63095</t>
  </si>
  <si>
    <t>wydatki na programy z udziałem środków UE i źródeł zagranicznych</t>
  </si>
  <si>
    <t>4017</t>
  </si>
  <si>
    <t>4117</t>
  </si>
  <si>
    <t>4127</t>
  </si>
  <si>
    <t>4307</t>
  </si>
  <si>
    <t>4417</t>
  </si>
  <si>
    <t>4427</t>
  </si>
  <si>
    <t>4429</t>
  </si>
  <si>
    <t>6207</t>
  </si>
  <si>
    <t>700</t>
  </si>
  <si>
    <t>Gospodarka mieszkaniowa</t>
  </si>
  <si>
    <t>70005</t>
  </si>
  <si>
    <t>Gospodarka gruntami i nieruchomościami</t>
  </si>
  <si>
    <t>4600</t>
  </si>
  <si>
    <t>Kary i odszkodowania wypłacane na rzecz osób prawnych i innych jednostek organizacyjnych</t>
  </si>
  <si>
    <t>710</t>
  </si>
  <si>
    <t>Działalność usługowa</t>
  </si>
  <si>
    <t>71003</t>
  </si>
  <si>
    <t>Biura planowania przestrzennego</t>
  </si>
  <si>
    <t>4240</t>
  </si>
  <si>
    <t>Zakup pomocy naukowych, dydaktycznych i książek</t>
  </si>
  <si>
    <t>71005</t>
  </si>
  <si>
    <t>Prace geologiczne (nieinwestycyjne)</t>
  </si>
  <si>
    <t>71012</t>
  </si>
  <si>
    <t>Opłata z tytułu zakupu usług telekomunikacyjnych</t>
  </si>
  <si>
    <t>4530</t>
  </si>
  <si>
    <t>Podatek od towarów i usług (VAT).</t>
  </si>
  <si>
    <t>71095</t>
  </si>
  <si>
    <t>720</t>
  </si>
  <si>
    <t>Informatyka</t>
  </si>
  <si>
    <t>72095</t>
  </si>
  <si>
    <t>730</t>
  </si>
  <si>
    <t>Nauka</t>
  </si>
  <si>
    <t>73095</t>
  </si>
  <si>
    <t>4177</t>
  </si>
  <si>
    <t>4217</t>
  </si>
  <si>
    <t>4387</t>
  </si>
  <si>
    <t>Zakup usług obejmujących tłumaczenia</t>
  </si>
  <si>
    <t>Administracja publiczna</t>
  </si>
  <si>
    <t>75011</t>
  </si>
  <si>
    <t>Urzędy wojewódzkie</t>
  </si>
  <si>
    <t>4370</t>
  </si>
  <si>
    <t>Opłata z tytułu zakupu usług telekomunikacyjnych świadczonych w stacjonarnej publicznej sieci telefonicznej.</t>
  </si>
  <si>
    <t>75017</t>
  </si>
  <si>
    <t>Samorządowe sejmiki województw</t>
  </si>
  <si>
    <t>3030</t>
  </si>
  <si>
    <t xml:space="preserve">Różne wydatki na rzecz osób fizycznych </t>
  </si>
  <si>
    <t>75018</t>
  </si>
  <si>
    <t>Urzędy marszałkowskie</t>
  </si>
  <si>
    <t>wydatki bieżące</t>
  </si>
  <si>
    <t>KZ - 15.000</t>
  </si>
  <si>
    <t>OR - 2.000.000</t>
  </si>
  <si>
    <t>KZ - 35.000</t>
  </si>
  <si>
    <t>OR - 1.598.935</t>
  </si>
  <si>
    <t>4380</t>
  </si>
  <si>
    <t>3028</t>
  </si>
  <si>
    <t>3029</t>
  </si>
  <si>
    <t>3038</t>
  </si>
  <si>
    <t xml:space="preserve">Różne wydtaki na rzecz osób fizycznych </t>
  </si>
  <si>
    <t>3039</t>
  </si>
  <si>
    <t>RR - 4.250</t>
  </si>
  <si>
    <t>RR - 750</t>
  </si>
  <si>
    <t>RR - 63.750</t>
  </si>
  <si>
    <t>RR - 11.250</t>
  </si>
  <si>
    <t>4268</t>
  </si>
  <si>
    <t>4269</t>
  </si>
  <si>
    <t>4288</t>
  </si>
  <si>
    <t>4289</t>
  </si>
  <si>
    <t>OR - 378.678</t>
  </si>
  <si>
    <t>RR - 50.745</t>
  </si>
  <si>
    <t>OR - 66.826</t>
  </si>
  <si>
    <t>RR - 8.955</t>
  </si>
  <si>
    <t>4388</t>
  </si>
  <si>
    <t>RR - 4.675</t>
  </si>
  <si>
    <t>4389</t>
  </si>
  <si>
    <t>RR - 825</t>
  </si>
  <si>
    <t>4398</t>
  </si>
  <si>
    <t>OR - 42.500</t>
  </si>
  <si>
    <t>RR - 144.500</t>
  </si>
  <si>
    <t>OR - 7.500</t>
  </si>
  <si>
    <t>RR - 25.500</t>
  </si>
  <si>
    <t>4408</t>
  </si>
  <si>
    <t>4409</t>
  </si>
  <si>
    <t>RR - 8.500</t>
  </si>
  <si>
    <t>RR - 1.500</t>
  </si>
  <si>
    <t>4428</t>
  </si>
  <si>
    <t>4528</t>
  </si>
  <si>
    <t>4529</t>
  </si>
  <si>
    <t>4618</t>
  </si>
  <si>
    <t>4619</t>
  </si>
  <si>
    <t>75046</t>
  </si>
  <si>
    <t>Komisje egzaminacyjne</t>
  </si>
  <si>
    <t>75071</t>
  </si>
  <si>
    <t>Centrum Rozwoju Zasobów Ludzkich</t>
  </si>
  <si>
    <t>4047</t>
  </si>
  <si>
    <t>4267</t>
  </si>
  <si>
    <t>4357</t>
  </si>
  <si>
    <t>4377</t>
  </si>
  <si>
    <t>4379</t>
  </si>
  <si>
    <t>4407</t>
  </si>
  <si>
    <t>4447</t>
  </si>
  <si>
    <t>4449</t>
  </si>
  <si>
    <t>KZ - 3.000</t>
  </si>
  <si>
    <t>PG - 15.000</t>
  </si>
  <si>
    <t>4190</t>
  </si>
  <si>
    <t>RG - 5.000</t>
  </si>
  <si>
    <t>KZ - 30.000</t>
  </si>
  <si>
    <t>KS - 5.000</t>
  </si>
  <si>
    <t>KZ - 25.000</t>
  </si>
  <si>
    <t>PG - 100.000</t>
  </si>
  <si>
    <t>RG - 45.000</t>
  </si>
  <si>
    <t>KZ - 390.500</t>
  </si>
  <si>
    <t>PG - 9.542.103</t>
  </si>
  <si>
    <t>RR - 100.000</t>
  </si>
  <si>
    <t>KZ - 20.000</t>
  </si>
  <si>
    <t>PG - 5.000</t>
  </si>
  <si>
    <t>Dotacje celowe przekazane do samorządu województwa na zadania bieżące realizowane na podstawie porozumień (umów) między jednostkami samorządu terytorialnego</t>
  </si>
  <si>
    <t>75079</t>
  </si>
  <si>
    <t>Pomoc zagraniczna</t>
  </si>
  <si>
    <t>75095</t>
  </si>
  <si>
    <t>WP - 1.000</t>
  </si>
  <si>
    <t>KZ - 12.000</t>
  </si>
  <si>
    <t>PG - 107.000</t>
  </si>
  <si>
    <t>RR - 2.920.000</t>
  </si>
  <si>
    <t>PG - 2.000</t>
  </si>
  <si>
    <t>NW - 61.750</t>
  </si>
  <si>
    <t>RR - 165.000</t>
  </si>
  <si>
    <t>KS - 110.000</t>
  </si>
  <si>
    <t>WP - 6.600</t>
  </si>
  <si>
    <t>RR - 25.000</t>
  </si>
  <si>
    <t>świadczenia na rzecz osób fizycznych</t>
  </si>
  <si>
    <t>Różne wydatki na rzecz osób fizycznych</t>
  </si>
  <si>
    <t>2058</t>
  </si>
  <si>
    <t>Dotacje celowe w ramach programów finansowanych z udziałem środków europejskich oraz środków, o których mowa w art.. 5 ust. 3 pkt 5 lit. a i b ustawy, lub płatności w ramach budżetu środków europejskich, realizowanych przez jednostki samorządu terytorialnego</t>
  </si>
  <si>
    <t>Szkolenia pracowników niebędących członkami korpusu służby cywilnej</t>
  </si>
  <si>
    <t>752</t>
  </si>
  <si>
    <t>Obrona narodowa</t>
  </si>
  <si>
    <t>75212</t>
  </si>
  <si>
    <t>Pozostałe wydatki obronne</t>
  </si>
  <si>
    <t>754</t>
  </si>
  <si>
    <t>Bezpieczeństwo publiczne i ochrona przeciwpożarowa</t>
  </si>
  <si>
    <t>75404</t>
  </si>
  <si>
    <t>Komendy wojewódzkie Policji</t>
  </si>
  <si>
    <t>3000</t>
  </si>
  <si>
    <t>Wpłaty jednostek na państwowy fundusz celowy</t>
  </si>
  <si>
    <t>6170</t>
  </si>
  <si>
    <t>Wpłaty jednostek na państwowy fundusz celowy na finansowanie lub dofinansowanie zadań inwestycyjnych</t>
  </si>
  <si>
    <t>75406</t>
  </si>
  <si>
    <t>Straż Graniczna</t>
  </si>
  <si>
    <t>75410</t>
  </si>
  <si>
    <t>75415</t>
  </si>
  <si>
    <t>Zadania ratownictwa górskiego i wodnego</t>
  </si>
  <si>
    <t>757</t>
  </si>
  <si>
    <t>Obsługa długu publicznego</t>
  </si>
  <si>
    <t>75702</t>
  </si>
  <si>
    <t>Obsługa papierów wartościowych, kredytów i pożyczek jednostek samorządu terytorialnego</t>
  </si>
  <si>
    <t>obsługa długu JST</t>
  </si>
  <si>
    <t>8110</t>
  </si>
  <si>
    <t>Odsetki od samorządowych papierów wartościowych lub zaciągniętych przez jednostkę samorządu terytorialnego kredytów i pożyczek</t>
  </si>
  <si>
    <t>75704</t>
  </si>
  <si>
    <t>Rozliczenia z tytułu poręczeń i gwarancji udzielonych przez Skarb Państwa lub jednostkę samorządu terytorialnego</t>
  </si>
  <si>
    <t>wypłaty z tytułu poręczeń i gwarancji:</t>
  </si>
  <si>
    <t>8020</t>
  </si>
  <si>
    <t>Wypłaty z tytułu gwarancji i poręczeń</t>
  </si>
  <si>
    <t>758</t>
  </si>
  <si>
    <t>Różne rozliczenia</t>
  </si>
  <si>
    <t>75818</t>
  </si>
  <si>
    <t>Rezerwy ogólne i celowe</t>
  </si>
  <si>
    <t>4810</t>
  </si>
  <si>
    <t>Rezerwy</t>
  </si>
  <si>
    <t>6800</t>
  </si>
  <si>
    <t>Rezerwy na inwestycje i zakupy inwestycyjne</t>
  </si>
  <si>
    <t>801</t>
  </si>
  <si>
    <t>Oświata i wychowanie</t>
  </si>
  <si>
    <t>80101</t>
  </si>
  <si>
    <t>Szkoły podstawowe</t>
  </si>
  <si>
    <t>80102</t>
  </si>
  <si>
    <t>Szkoły podstawowe specjalne</t>
  </si>
  <si>
    <t>80111</t>
  </si>
  <si>
    <t>Gimnazja specjalne</t>
  </si>
  <si>
    <t>80121</t>
  </si>
  <si>
    <t>Licea ogólnokształcące specjalne</t>
  </si>
  <si>
    <t>80130</t>
  </si>
  <si>
    <t>Szkoły zawodowe</t>
  </si>
  <si>
    <t>4340</t>
  </si>
  <si>
    <t>Zakup usług remontowo-konserwatorskich dotyczących obiektów zabytkowych będących w użytkowaniu jednostek budżetowych</t>
  </si>
  <si>
    <t xml:space="preserve">Opłaty na rzecz budżetów jednostek budżetowych </t>
  </si>
  <si>
    <t>3240</t>
  </si>
  <si>
    <t>Stypendia dla uczniów</t>
  </si>
  <si>
    <t>80141</t>
  </si>
  <si>
    <t>Zakłady kształcenia nauczycieli</t>
  </si>
  <si>
    <t>80146</t>
  </si>
  <si>
    <t>Dokształcanie i doskonalenie nauczycieli</t>
  </si>
  <si>
    <t>2007</t>
  </si>
  <si>
    <t>3027</t>
  </si>
  <si>
    <t>4227</t>
  </si>
  <si>
    <t>Zakup środków żywności</t>
  </si>
  <si>
    <t>4287</t>
  </si>
  <si>
    <t>4367</t>
  </si>
  <si>
    <t>80147</t>
  </si>
  <si>
    <t>Biblioteki pedagogiczne</t>
  </si>
  <si>
    <t>80195</t>
  </si>
  <si>
    <t>3040</t>
  </si>
  <si>
    <t>Nagrody o charakterze szczególnym niezaliczone do wynagrodzeń</t>
  </si>
  <si>
    <t>4111</t>
  </si>
  <si>
    <t>4121</t>
  </si>
  <si>
    <t>4171</t>
  </si>
  <si>
    <t>4301</t>
  </si>
  <si>
    <t>4527</t>
  </si>
  <si>
    <t>803</t>
  </si>
  <si>
    <t>Szkolnictwo wyższe</t>
  </si>
  <si>
    <t>80306</t>
  </si>
  <si>
    <t>Działalność dydaktyczna</t>
  </si>
  <si>
    <t>80309</t>
  </si>
  <si>
    <t>Pomoc materialna dla studentów i doktorantów</t>
  </si>
  <si>
    <t>3250</t>
  </si>
  <si>
    <t>Stypendia różne</t>
  </si>
  <si>
    <t>80395</t>
  </si>
  <si>
    <t>851</t>
  </si>
  <si>
    <t>Ochrona zdrowia</t>
  </si>
  <si>
    <t>85111</t>
  </si>
  <si>
    <t>Szpitale ogólne</t>
  </si>
  <si>
    <t>2560</t>
  </si>
  <si>
    <t>Dotacja podmiotowa z budżetu dla samodzielnego publicznego zakładu opieki zdrowotnej utworzonego przez jednostkę samorządu terytorialnego</t>
  </si>
  <si>
    <t>6220</t>
  </si>
  <si>
    <t>Dotacje celowe z budżetu na finansowanie lub dofinansowanie kosztów realizacji inwestycji i zakupów inwestycyjnych innych jednostek sektora finansów publicznych</t>
  </si>
  <si>
    <t>85119</t>
  </si>
  <si>
    <t>Leczenie sanatoryjno-klimatyczne</t>
  </si>
  <si>
    <t>zakup i objęcie akcji i udziałów</t>
  </si>
  <si>
    <t>6010</t>
  </si>
  <si>
    <t>Wydatki na zakup i objęcie akcji, wniesienie wkładów do spółek prawa handlowego oraz na uzupełnienie funduszy statutowych banków państwowych i innych instytucji finansowych</t>
  </si>
  <si>
    <t>85120</t>
  </si>
  <si>
    <t>Lecznictwo psychiatryczne</t>
  </si>
  <si>
    <t>85121</t>
  </si>
  <si>
    <t>Lecznictwo ambulatoryjne</t>
  </si>
  <si>
    <t>85141</t>
  </si>
  <si>
    <t>Ratownictwo medyczne</t>
  </si>
  <si>
    <t>85148</t>
  </si>
  <si>
    <t>Medycyna pracy</t>
  </si>
  <si>
    <t>85149</t>
  </si>
  <si>
    <t>Programy polityki zdrowotnej</t>
  </si>
  <si>
    <t>85153</t>
  </si>
  <si>
    <t>Zwalczanie narkomanii</t>
  </si>
  <si>
    <t>85154</t>
  </si>
  <si>
    <t>Przeciwdziałanie alkoholizmowi</t>
  </si>
  <si>
    <t>85156</t>
  </si>
  <si>
    <t>Składki na ubezpieczenie zdrowotne oraz świadczenia dla osób nieobjętych obowiązkiem ubezpieczenia zdrowotnego</t>
  </si>
  <si>
    <t>4130</t>
  </si>
  <si>
    <t>Składki na ubezpieczenie zdrowotne</t>
  </si>
  <si>
    <t>85195</t>
  </si>
  <si>
    <t>852</t>
  </si>
  <si>
    <t>Pomoc społeczna</t>
  </si>
  <si>
    <t>85205</t>
  </si>
  <si>
    <t>Zadania w zakresie przeciwdziałania przemocy w rodzinie</t>
  </si>
  <si>
    <t>Dotacje celowe z budżetu jednostki samorządu terytorialnego, udzielone w trybie art.. 221 ustawy, na finansowanie lub dofinansowanie zadań zleconych do realizacji organizacjom prowadzącym działalność pożytku publicznego</t>
  </si>
  <si>
    <t>85206</t>
  </si>
  <si>
    <t>Wspieranie rodziny</t>
  </si>
  <si>
    <t>85212</t>
  </si>
  <si>
    <t>Świadczenia rodzinne, świadczenia z funduszu alimentacyjnego oraz składki na ubezpieczenia emerytalne i rentowe z ubezpieczenia społecznego</t>
  </si>
  <si>
    <t>2910</t>
  </si>
  <si>
    <t>Zwrot dotacji oraz płatności, w tym  wykorzystanych niezgodnie z przeznaczeniem lub wykorzystanych z naruszeniem procedur, o których mowa w art. 184 ustawy, pobranych nienależnie lub w nadmiernej wysokości</t>
  </si>
  <si>
    <t>85217</t>
  </si>
  <si>
    <t>Regionalne ośrodki polityki społecznej</t>
  </si>
  <si>
    <t>85218</t>
  </si>
  <si>
    <t>Powiatowe centra pomocy rodzinie</t>
  </si>
  <si>
    <t>85219</t>
  </si>
  <si>
    <t>Ośrodki pomocy społecznej</t>
  </si>
  <si>
    <t>85226</t>
  </si>
  <si>
    <t>Ośrodki adopcyjne</t>
  </si>
  <si>
    <t>85295</t>
  </si>
  <si>
    <t>4016</t>
  </si>
  <si>
    <t>4046</t>
  </si>
  <si>
    <t>4116</t>
  </si>
  <si>
    <t>4126</t>
  </si>
  <si>
    <t>4176</t>
  </si>
  <si>
    <t>4216</t>
  </si>
  <si>
    <t>4266</t>
  </si>
  <si>
    <t>4306</t>
  </si>
  <si>
    <t>4356</t>
  </si>
  <si>
    <t>4366</t>
  </si>
  <si>
    <t>4386</t>
  </si>
  <si>
    <t>4406</t>
  </si>
  <si>
    <t>4416</t>
  </si>
  <si>
    <t>4486</t>
  </si>
  <si>
    <t>4487</t>
  </si>
  <si>
    <t>4526</t>
  </si>
  <si>
    <t>853</t>
  </si>
  <si>
    <t>Pozostałe zadania w zakresie polityki społecznej</t>
  </si>
  <si>
    <t>85311</t>
  </si>
  <si>
    <t>Rehabilitacja zawodowa i społeczna osób niepełnosprawnych</t>
  </si>
  <si>
    <t>2570</t>
  </si>
  <si>
    <t>Dotacja podmiotowa z budżetu dla pozostałych jednostek sektora finansów publicznych</t>
  </si>
  <si>
    <t>2580</t>
  </si>
  <si>
    <t>Dotacja podmiotowa z budżetu dla jednostek niezaliczanych do sektora finansów publicznych</t>
  </si>
  <si>
    <t>85332</t>
  </si>
  <si>
    <t>Wojewódzkie urzędy pracy</t>
  </si>
  <si>
    <t>RR - 4.214</t>
  </si>
  <si>
    <t>RR - 786</t>
  </si>
  <si>
    <t>RR - 2.029.209</t>
  </si>
  <si>
    <t>RR - 378.491</t>
  </si>
  <si>
    <t>RR - 614.894</t>
  </si>
  <si>
    <t>RR - 114.691</t>
  </si>
  <si>
    <t>RR - 452.141</t>
  </si>
  <si>
    <t>RR - 84.335</t>
  </si>
  <si>
    <t>RR - 64.781</t>
  </si>
  <si>
    <t>RR - 12.083</t>
  </si>
  <si>
    <t>RR - 33.712</t>
  </si>
  <si>
    <t>RR - 6.288</t>
  </si>
  <si>
    <t>RR - 142.981</t>
  </si>
  <si>
    <t>RR - 26.669</t>
  </si>
  <si>
    <t>RR - 49.599</t>
  </si>
  <si>
    <t>RR - 9.251</t>
  </si>
  <si>
    <t>RR - 379</t>
  </si>
  <si>
    <t>RR - 71</t>
  </si>
  <si>
    <t>RR - 75.393</t>
  </si>
  <si>
    <t>RR - 14.062</t>
  </si>
  <si>
    <t>RR - 13.485</t>
  </si>
  <si>
    <t>RR - 2.515</t>
  </si>
  <si>
    <t>RR - 240.709</t>
  </si>
  <si>
    <t>RR - 44.897</t>
  </si>
  <si>
    <t>RR - 20.417</t>
  </si>
  <si>
    <t>RR - 3.808</t>
  </si>
  <si>
    <t>RR - 843</t>
  </si>
  <si>
    <t>RR - 157</t>
  </si>
  <si>
    <t>RR - 25.200</t>
  </si>
  <si>
    <t>RR - 4.700</t>
  </si>
  <si>
    <t>6058</t>
  </si>
  <si>
    <t>85395</t>
  </si>
  <si>
    <t>RR - 501.000</t>
  </si>
  <si>
    <t>RR - 4.000</t>
  </si>
  <si>
    <t>4277</t>
  </si>
  <si>
    <t>4437</t>
  </si>
  <si>
    <t>Edukacyjna opieka wychowawcza</t>
  </si>
  <si>
    <t>85410</t>
  </si>
  <si>
    <t>Internaty i bursy szkolne</t>
  </si>
  <si>
    <t>Opłaty na rzecz budżetów jednostek budżetowych</t>
  </si>
  <si>
    <t>85415</t>
  </si>
  <si>
    <t>Pomoc materialna dla uczniów</t>
  </si>
  <si>
    <t>3247</t>
  </si>
  <si>
    <t>3249</t>
  </si>
  <si>
    <t>2710</t>
  </si>
  <si>
    <t>Dotacja celowa na pomoc finansową udzielaną między jednostkami samorządu terytorialnego na dofinansowanie własnych zadań bieżących</t>
  </si>
  <si>
    <t>85495</t>
  </si>
  <si>
    <t>900</t>
  </si>
  <si>
    <t>Gospodarka komunalna i ochrona środowiska</t>
  </si>
  <si>
    <t>90005</t>
  </si>
  <si>
    <t>Ochrona powietrza atmosferycznego i klimatu</t>
  </si>
  <si>
    <t>GG - 62.000</t>
  </si>
  <si>
    <t>OS - 73.700</t>
  </si>
  <si>
    <t xml:space="preserve">Dotacja celowa na pomoc finansową udzielaną między jednostakmi samorządu terytorialnego na dofinansowanie własnych zadań inwestycyjnych i zakupów inwestycyjnych </t>
  </si>
  <si>
    <t>90019</t>
  </si>
  <si>
    <t>Wpływy i wydatki związane z gromadzeniem środków z opłat i kar za korzystanie ze środowiska</t>
  </si>
  <si>
    <t>90020</t>
  </si>
  <si>
    <t>Wpływy i wydatki związane z gromadzeniem środków z opłat produktowych</t>
  </si>
  <si>
    <t>90024</t>
  </si>
  <si>
    <t>Wpływy i wydatki związane z wprowadzeniem do obrotu baterii i akumulatorów</t>
  </si>
  <si>
    <t>90095</t>
  </si>
  <si>
    <t>Kultura i ochrona dziedzictwa narodowego</t>
  </si>
  <si>
    <t>92105</t>
  </si>
  <si>
    <t>Pozostałe zadania w zakresie kultury</t>
  </si>
  <si>
    <t>92106</t>
  </si>
  <si>
    <t xml:space="preserve">Teatry </t>
  </si>
  <si>
    <t>2480</t>
  </si>
  <si>
    <t>Dotacja podmiotowa z budżetu dla samorządowej instytucji kultury</t>
  </si>
  <si>
    <t>2800</t>
  </si>
  <si>
    <t>Dotacja celowa z budżetu dla pozostałych jednostek zaliczanych do sektora finansów publicznych</t>
  </si>
  <si>
    <t>92108</t>
  </si>
  <si>
    <t>Filharmonie, orkiestry, chóry i kapele</t>
  </si>
  <si>
    <t>92109</t>
  </si>
  <si>
    <t>Domy i ośrodki kultury, świetlice i kluby</t>
  </si>
  <si>
    <t>92110</t>
  </si>
  <si>
    <t>Galerie i biura wystaw artystycznych</t>
  </si>
  <si>
    <t>92114</t>
  </si>
  <si>
    <t>Pozostałe instytucje kultury</t>
  </si>
  <si>
    <t xml:space="preserve">Dotacja celowa na pomoc finansową udzielaną między jednostkami samorządu terytorialnego na dofinansowanie własnych zadań bieżących </t>
  </si>
  <si>
    <t>92120</t>
  </si>
  <si>
    <t>Ochrona zabytków i opieka nad zabytkami</t>
  </si>
  <si>
    <t>2720</t>
  </si>
  <si>
    <t>Dotacje celowe z budżetu na finansowanie lub dofinansowanie prac remontowych i konserwatorskich obiektów zabytkowych przekazane jednostkom niezaliczanym do sektora finansów publicznych</t>
  </si>
  <si>
    <t>DO - 7.038</t>
  </si>
  <si>
    <t>DO - 108.000</t>
  </si>
  <si>
    <t>925</t>
  </si>
  <si>
    <t>Ogrody botaniczne i zoologiczne oraz naturalne obszary i obiekty chronionej przyrody</t>
  </si>
  <si>
    <t>92502</t>
  </si>
  <si>
    <t>Parki krajobrazowe</t>
  </si>
  <si>
    <t xml:space="preserve">Opłaty na rzecz budżetów jednostek samorządu terytorialnego </t>
  </si>
  <si>
    <t>92595</t>
  </si>
  <si>
    <t>926</t>
  </si>
  <si>
    <t>Kultura fizyczna</t>
  </si>
  <si>
    <t>92605</t>
  </si>
  <si>
    <t>Zadania w zakresie kultury fizycznej</t>
  </si>
  <si>
    <t>dotacje  na zadania bieżące:</t>
  </si>
  <si>
    <t>2820</t>
  </si>
  <si>
    <t>Dotacja celowa z budżetu na finansowanie lub dofinansowanie zadań zleconych do realizacji stowarzyszeniom</t>
  </si>
  <si>
    <t>Razem:</t>
  </si>
  <si>
    <t>I. Wydatki bieżące, w tym:</t>
  </si>
  <si>
    <t>1. Wydatki jednostek budżetowych, z tego:</t>
  </si>
  <si>
    <t xml:space="preserve">    - wynagrodzenia i składki od nich naliczane</t>
  </si>
  <si>
    <t xml:space="preserve">    - wydatki związane z realizacją ich statutowych zadań</t>
  </si>
  <si>
    <t>2. Dotacje na zadania bieżące</t>
  </si>
  <si>
    <t>3. Świadczenia na rzecz osób fizycznych</t>
  </si>
  <si>
    <t>4. Wydatki na programy finansowane z udziałem środków UE i źródeł zagranicznych</t>
  </si>
  <si>
    <t>5. Wypłaty z tytułu poręczeń i gwarancji</t>
  </si>
  <si>
    <t>6. Obsługa długu JST</t>
  </si>
  <si>
    <t>II. Wydatki majątkowe, w tym:</t>
  </si>
  <si>
    <t>1. Inwestycje i zakupy inwestycyjne, z tego:</t>
  </si>
  <si>
    <t xml:space="preserve">   - na programy finansowane z udziałem środków UE i źródeł zagranicznych</t>
  </si>
  <si>
    <t>2. Zakup i objęcie akcji i udziałów</t>
  </si>
  <si>
    <t>3. Wniesienie wkładów do spółek prawa handlowego</t>
  </si>
  <si>
    <t>ROLNICTWO I ŁOWIECTWO</t>
  </si>
  <si>
    <t>100</t>
  </si>
  <si>
    <t>GÓRNICTWO I KOPALNICTWO</t>
  </si>
  <si>
    <t>10095</t>
  </si>
  <si>
    <t>TRANSPORT I ŁĄCZNOŚĆ</t>
  </si>
  <si>
    <t>DZIAŁALNOŚĆ USŁUGOWA</t>
  </si>
  <si>
    <t>OBRONA NARODOWA</t>
  </si>
  <si>
    <t>POMOC SPOŁECZNA</t>
  </si>
  <si>
    <t>Świadczenia rodzinne, świadczenie z funduszu alimentacyjnego oraz składki na ubezpieczenia emerytalne i rentowe z ubezpieczenia społecznego</t>
  </si>
  <si>
    <t>POZOSTAŁE ZADANIA W ZAKRESIE POLITYKI SPOŁECZNEJ</t>
  </si>
  <si>
    <t>ZESTAWIENIE  DOCHODÓW  I  WYDATKÓW  ZWIĄZANYCH  
Z  REALIZACJĄ  ZADAŃ  Z  ZAKRESU  ADMINISTRACJI  RZĄDOWEJ  
ORAZ  INNYCH  ZADAŃ  ZLECONYCH  SAMORZĄDOWI 
WOJEWÓDZTWA  PODKARPACKIEGO USTAWAMI</t>
  </si>
  <si>
    <t>DOCHODY Z TYTUŁU PRZYZNANYCH Z BUDŻETU PAŃSTWA DOTACJI 
NA REALIZACJĘ ZADAŃ Z ZAKRESU ADMINISTRACJI RZĄDOWEJ</t>
  </si>
  <si>
    <t>Zadania z zakresu geodezji i kartografii</t>
  </si>
  <si>
    <t>OCHRONA  ZDROWIA</t>
  </si>
  <si>
    <t>Składki na ubezpieczenie zdrowotne oraz świadczenia 
dla osób nieobjętych obowiązkiem ubezpieczenia zdrowotnego</t>
  </si>
  <si>
    <t xml:space="preserve">WYDATKI  NA  ZADANIA  Z  ZAKRESU  ADMINISTRACJI  RZĄDOWEJ                                                                                                                                                                                         </t>
  </si>
  <si>
    <t xml:space="preserve">    w złotych</t>
  </si>
  <si>
    <t>z tego:</t>
  </si>
  <si>
    <t>Wydatki jednostek budżetowych</t>
  </si>
  <si>
    <t>Dotacje na zadania bieżące</t>
  </si>
  <si>
    <t>Świadczenia na rzecz osób fizycznych</t>
  </si>
  <si>
    <t>wynagro-
dzenia i 
składki od nich naliczane</t>
  </si>
  <si>
    <t>wydatki związane z realizacją ich statutowych zadań</t>
  </si>
  <si>
    <t>razem</t>
  </si>
  <si>
    <t>Zadania z zakresu geodezji 
i kartografii</t>
  </si>
  <si>
    <t>Wykaz zadań z zakresu administracji rządowej dofinansowanych 
ze środków własnych budżetu Województwa w 2016r.</t>
  </si>
  <si>
    <t xml:space="preserve">w złotych </t>
  </si>
  <si>
    <t>Kwota dofinansowania</t>
  </si>
  <si>
    <t>Nazwa zadania</t>
  </si>
  <si>
    <t>Koszty szacowania szkód w uprawach i płodach rolnych wyrządzonych przez zwierzęta łowne na terenach położonych poza obwodami łowieckimi oraz szkód wyrządzonych na terenach obwodów łowieckich polnych i poza obwodami łowieckimi przez zwierzęta łowne objęte całoroczną ochroną (wydatki bieżące).</t>
  </si>
  <si>
    <t>Działalność Ośrodka Dokumentacji Geodezyjnej i Kartograficznej w Rzeszowie (wydatki bieżące).</t>
  </si>
  <si>
    <t>Realizacja zadania pn. "Tworzenie opracowań kartograficznych na podstawie bazy danych topograficznych (BDOT10k) z terenu województwa podkarpackiego" (wydatki bieżące).</t>
  </si>
  <si>
    <t>Zadania przejęte od administracji rządowej w związku ze zmianami w podziale zadań i kompetencji administracji terenowej (wydatki bieżące).</t>
  </si>
  <si>
    <t xml:space="preserve">Razem </t>
  </si>
  <si>
    <t xml:space="preserve">PLAN  DOCHODÓW  PODLEGAJĄCYCH  PRZEKAZANIU  DO  BUDŻETU  PAŃSTWA ORAZ STANOWIĄCYCH DOCHÓD BUDŻETU WOJEWÓDZTWA ZWIĄZANYCH  Z  REALIZACJĄ  ZADAŃ  
Z  ZAKRESU  ADMINISTRACJI  RZĄDOWEJ </t>
  </si>
  <si>
    <t>Dochody
OGÓŁEM</t>
  </si>
  <si>
    <t>w tym: podlegające przekazaniu</t>
  </si>
  <si>
    <t xml:space="preserve">do budżetu państwa </t>
  </si>
  <si>
    <t>do budżetu samorządu</t>
  </si>
  <si>
    <t>DZIAŁANOŚĆ USŁUGOWA</t>
  </si>
  <si>
    <t>Plan dochodów na 2016 r. według działów, rozdziałów, paragrafów klasyfikacji budżetowej oraz źródeł dochodów</t>
  </si>
  <si>
    <t>Rozdz.</t>
  </si>
  <si>
    <t>Źródło pochodzenia</t>
  </si>
  <si>
    <t xml:space="preserve">Biura geodezji i terenów rolnych </t>
  </si>
  <si>
    <t>a) dochody bieżące, w tym:</t>
  </si>
  <si>
    <t>0830</t>
  </si>
  <si>
    <t>0970</t>
  </si>
  <si>
    <t>b) dochody majątkowe</t>
  </si>
  <si>
    <t>0750</t>
  </si>
  <si>
    <t xml:space="preserve">Dotacje celowe otrzymane z budżetu państwa na zadania bieżące z zakresu administracji rządowej oraz inne zadania zlecone ustawami realizowane przez samorząd województwa </t>
  </si>
  <si>
    <t>5% dochodów uzyskiwanych na rzecz budżetu państwa w związku z realizacją zadań z zakresu administracji rządowej oraz innych zadań zleconych ustawami</t>
  </si>
  <si>
    <t>b) dochody majątkowe, w tym:</t>
  </si>
  <si>
    <t xml:space="preserve">Dotacje celowe otrzymane z budżetu państwa na inwestycje i zakupy inwestycyjne z zakresu administracji rządowej oraz inne zadania zlecone ustawami realizowane przez samorząd województwa </t>
  </si>
  <si>
    <t>Dotacje celowe otrzymane z budżetu państwa na inwestycje i zakupy inwestycyjne z zakresu administracji rządowej oraz inne zadania zlecone ustawami realizowane przez samorząd województwa - wydatki niekwalifikowalne na realizację inwestycji melioracyjnych w ramach Regionalnego Programu Operacyjnego Województwa Podkarpackiego na lata 2014-2020</t>
  </si>
  <si>
    <t>Program Rozwoju Obszarów Wiejskich</t>
  </si>
  <si>
    <t>Dotacja celowa z budżetu państwa na finansowanie wydatków objętych Pomocą Techniczną Programu Rozwoju Obszarów Wiejskich na lata 2014 - 2020</t>
  </si>
  <si>
    <t>Dotacja celowa z budżetu państwa na współfinansowanie wydatków objętych Pomocą Techniczną Programu Rozwoju Obszarów Wiejskich na lata 2014 - 2020</t>
  </si>
  <si>
    <t>Wpływy z tytułu wyłączenia gruntów z produkcji rolnej</t>
  </si>
  <si>
    <t>0690</t>
  </si>
  <si>
    <t xml:space="preserve">Usuwanie skutków klęsk żywiołowych </t>
  </si>
  <si>
    <t>a) dochody bieżące</t>
  </si>
  <si>
    <t>Dotacja celowa z budżetu państwa na współfinansowanie inwestycji melioracyjnych w ramach Regionalnego Programu Operacyjnego Województwa Podkarpackiego na lata 2014 - 2020</t>
  </si>
  <si>
    <t>Dotacje celowe otrzymane z budżetu państwa na inwestycje i zakupy inwestycyjne z zakresu administracji rządowej oraz inne zadania zlecone ustawami realizowane przez samorząd województwa - wydatki realizowane w ramach Projektu Ochrony Przeciwpowodziowej Dorzecza Odry i Wisły</t>
  </si>
  <si>
    <t xml:space="preserve">RYBOŁÓWSTWO I RYBACTWO </t>
  </si>
  <si>
    <t>Program Operacyjny Zrównoważony rozwój sektora rybołówstwa i nadbrzeżnych obszarów rybackich 2007 - 2013 oraz Program Operacyjny Rybactwo i Morze 2014 - 2020</t>
  </si>
  <si>
    <t>Dotacja celowa z budżetu państwa na finansowanie wydatków objętych Pomocą Techniczną Programu Operacyjnego Rybactwo i Morze 2014 - 2020</t>
  </si>
  <si>
    <t>Dotacja celowa z budżetu państwa na współfinansowanie wydatków objętych Pomocą Techniczną Programu Operacyjnego Rybactwo i Morze 2014 - 2020</t>
  </si>
  <si>
    <t xml:space="preserve">b) dochody majątkowe </t>
  </si>
  <si>
    <t>Dzierżawa autobusów szynowych</t>
  </si>
  <si>
    <t>Zwrot od ubezpieczyciela kosztów naprawy autobusów szynowych</t>
  </si>
  <si>
    <t>Zwrot podatku VAT od napraw i zakupu pojazdu szynowego</t>
  </si>
  <si>
    <t>Dotacje otrzymane z państwowych funduszy celowych na realizację zadań bieżących jednostek sektora finansów publicznych</t>
  </si>
  <si>
    <t>2440</t>
  </si>
  <si>
    <t xml:space="preserve">Opłaty za wydawanie zezwoleń na regularny przewóz osób </t>
  </si>
  <si>
    <t>Dochody realizowane przez Podkarpacki Zarząd Dróg Wojewódzkich w Rzeszowie z tytułu wynagrodzenia płatnika za rozliczenie i terminowe wpłaty podatku dochodowego od osób fizycznych oraz wypłacanych świadczeń z ubezpieczenia chorobowego oraz wpływów za wydane decyzje za zajęcie pasa drogowego</t>
  </si>
  <si>
    <t>Dotacja celowa z budżetu państwa z przeznaczeniem na dofinansowanie zadań realizowanych w 2015 r. z zakresu remontu, utrzymania i zarządzania drogami wojewódzkimi</t>
  </si>
  <si>
    <t>2230</t>
  </si>
  <si>
    <t>Środki pochodzące z budżetu Unii Europejskiej na realizację inwestycji drogowych w ramach Programu Operacyjnego Polska Wschodnia na lata 2014-2020</t>
  </si>
  <si>
    <t>Dotacja celowa otrzymana z tytułu pomocy finansowej udzielanej między jednostkami samorządu terytorialnego na dofinansowanie własnych zadań inwestycyjnych i zakupów inwestycyjnych</t>
  </si>
  <si>
    <t xml:space="preserve">Dochody z tytułu opłat za wpis do rejestru przedsiębiorców prowadzących pracownię psychologiczną, za wpis do ewidencji uprawnionych psychologów, za wpis do ewidencji uprawnionych lekarzy </t>
  </si>
  <si>
    <t>TURYSTYKA</t>
  </si>
  <si>
    <t>Środki pochodzące z budżetu Unii Europejskiej jako refundacja wydatków poniesionych ze środków własnych na realizację projektu pn. "Trasy rowerowe w Polsce Wschodniej" w ramach Programu Operacyjnego Rozwój Polski Wschodniej  na lata 2007 - 2013</t>
  </si>
  <si>
    <t>Dotacja celowa z budżetu państwa jako refundacja wydatków poniesionych ze środków własnych na realizację projektu pn. "Trasy rowerowe w Polsce Wschodniej" w ramach Programu Operacyjnego Rozwój Polski Wschodniej  na lata 2007 - 2013</t>
  </si>
  <si>
    <t>GOSPODARKA MIESZKANIOWA</t>
  </si>
  <si>
    <t>Opłaty za zarząd i wieczyste użytkowanie</t>
  </si>
  <si>
    <t>0470</t>
  </si>
  <si>
    <t>Dochody ze sprzedaży mienia będącego w zasobie Województwa</t>
  </si>
  <si>
    <t>0770</t>
  </si>
  <si>
    <t>Dochody realizowane przez Podkarpackie Biuro Planowania Przestrzennego w Rzeszowie z tytułu najmu składników majątkowych i zwrotu opłat za media</t>
  </si>
  <si>
    <t>Dochody realizowane przez Wojewódzki Ośrodek Dokumentacji Geodezyjnej i Kartograficznej w Rzeszowie z tytułu udostępniania danych z zasobu geodezyjnego i kartograficznego, prowizji dla płatników za rozliczenie i terminowe wpłaty podatku dochodowego od osób fizycznych</t>
  </si>
  <si>
    <t>2210</t>
  </si>
  <si>
    <t>b) dochody majątkowe tym:</t>
  </si>
  <si>
    <t>Dotacje celowe otrzymane z budżetu państwa na inwestycje i zakupy inwestycyjne z zakresu administracji rządowej oraz inne zadania zlecone ustawami realizowane przez samorząd województwa</t>
  </si>
  <si>
    <t>INFORMATYKA</t>
  </si>
  <si>
    <t>Środki pochodzące z budżetu Unii Europejskiej jako refundacja wydatków poniesionych ze środków własnych na realizację projektu "Sieć Szerokopasmowa Polski Wschodniej - Województwo Podkarpackie" w ramach Programu Operacyjnego Rozwój Polski Wschodniej na lata 2007-2013</t>
  </si>
  <si>
    <t xml:space="preserve">Dotacje celowe z budżetu państwa na zadania bieżące z zakresu administracji rządowej oraz inne zadania zlecone ustawami realizowane przez samorząd województwa </t>
  </si>
  <si>
    <t>Dochody realizowane przez Urząd Marszałkowski z tytułu najmu i dzierżawy pomieszczeń w budynku przy ul. Cieplińskiego 4, wpływów za media, refundacji wynagrodzeń i składek ZUS osób zatrudnionych w ramach prac interwencyjnych, odszkodowań komunikacyjnych, kosztów upomnień dotyczących opłaty melioracyjnej, udostępniania informacji o środowisku</t>
  </si>
  <si>
    <t xml:space="preserve">Dotacje celowe otrzymane z budżetu państwa na realizację bieżących zadań własnych samorządu województwa </t>
  </si>
  <si>
    <t xml:space="preserve">Środki pochodzące z budżetu Unii Europejskiej na realizację projektu pn. „System Informacji o Funduszach Europejskich” w ramach Programu Operacyjnego Pomoc Techniczna na lata 2014-2020
</t>
  </si>
  <si>
    <t>Środki pochodzące z budżetu Unii Europejskiej na realizację projektu pn."Projekt wsparcia jednostek samorządu terytorialnego w opracowaniu lub aktualizacji programów rewitalizacji" w ramach Programu Operacyjnego Pomoc Techniczna na lata 2014-2020</t>
  </si>
  <si>
    <t>Dotacja celowa z budżetu państwa na realizację projektu pn. „System Informacji o Funduszach Europejskich” w ramach Programu Operacyjnego Pomoc Techniczna na lata 2014-2020</t>
  </si>
  <si>
    <t>Dotacja celowa z budżetu państwa na realizację projektu pn. "Projekt wsparcia jednostek samorządu terytorialnego w opracowaniu lub aktualizacji programów rewitalizacji" w ramach Programu Operacyjnego Pomoc Techniczna na lata 2014-2020</t>
  </si>
  <si>
    <t>Środki pochodzące z budżetu Unii Europejskiej jako refundacja wydatków poniesionych ze środków własnych na realizację projektu "Budowa Centrum Wystawienniczo - Kongresowego Województwa Podkarpackiego"  w ramach Programu Operacyjnego Rozwój Polski Wschodniej na lata 2007 - 2013</t>
  </si>
  <si>
    <t>Środki pochodzące z budżetu Unii Europejskiej na realizację projektu pn. "Projekt wsparcia jednostek samorządu terytorialnego w opracowaniu lub aktualizacji programów rewitalizacji" w ramach Programu Operacyjnego Pomoc Techniczna na lata 2014-2020</t>
  </si>
  <si>
    <t>Dotacja celowa pochodząca z budżetu państwa na realizację projektu pn. "Projekt wsparcia jednostek samorządu terytorialnego w opracowaniu lub aktualizacji programów rewitalizacji" w ramach Programu Operacyjnego Pomoc Techniczna na lata 2014-2020</t>
  </si>
  <si>
    <t>Dotacja celowa z budżetu państwa jako refundacja wydatków poniesionych ze środków własnych na realizację projektu "Budowa Centrum Wystawienniczo - Kongresowego Województwa Podkarpackiego" w ramach Programu Operacyjnego Rozwój Polski Wschodniej na lata 2007 - 2013</t>
  </si>
  <si>
    <t>DOCHODY OD OSÓB PRAWNYCH, OD OSÓB FIZYCZNYCH I OD INNYCH JEDNOSTEK NIE POSIADAJĄCYCH OSOBOWOŚCI PRAWNEJ ORAZ WYDATKI ZWIĄZANE Z ICH POBOREM</t>
  </si>
  <si>
    <t>Wpływy z innych opłat stanowiących dochody jednostek samorządu terytorialnego na podstawie ustaw</t>
  </si>
  <si>
    <t>Opłaty za zezwolenia na hurtową sprzedaż alkoholu</t>
  </si>
  <si>
    <t>0480</t>
  </si>
  <si>
    <t>Dochody realizowane przez Wojewódzki Urząd Pracy w Rzeszowie z tytułu wydawania zaświadczeń stwierdzających charakter, okres i rodzaj działalności wykonywanej w RP oraz certyfikatów potwierdzających wpis do rejestru agencji zatrudnienia</t>
  </si>
  <si>
    <t>Udziały województw w podatkach stanowiących dochód budżetu państwa</t>
  </si>
  <si>
    <t>Udział w podatku dochodowym od osób fizycznych</t>
  </si>
  <si>
    <t>0010</t>
  </si>
  <si>
    <t>Udział w podatku dochodowym od osób prawnych</t>
  </si>
  <si>
    <t>0020</t>
  </si>
  <si>
    <t>RÓŻNE ROZLICZENIA</t>
  </si>
  <si>
    <t>Część oświatowa subwencji ogólnej dla jednostek samorządu terytorialnego</t>
  </si>
  <si>
    <t>Subwencje ogólne z budżetu państwa</t>
  </si>
  <si>
    <t>Część wyrównawcza subwencji ogólnej dla województw</t>
  </si>
  <si>
    <t>Różne rozliczenia finansowe</t>
  </si>
  <si>
    <t>Odsetki od środków na rachunkach bankowych oraz lokat terminowych</t>
  </si>
  <si>
    <t>0920</t>
  </si>
  <si>
    <t>Część regionalna subwencji ogólnej dla województw</t>
  </si>
  <si>
    <t>2920</t>
  </si>
  <si>
    <t>Regionalne Programy Operacyjne 2007 - 2013</t>
  </si>
  <si>
    <t>Dotacja celowa z budżetu państwa na współfinansowanie projektów realizowanych w ramach Regionalnego Programu Operacyjnego Województwa Podkarpackiego na lata 2007 - 2013</t>
  </si>
  <si>
    <t>Dotacja celowa z budżetu państwa na współfinansowanie projektów w ramach Regionalnego Programu Operacyjnego Województwa Podkarpackiego na lata 2007 - 2013</t>
  </si>
  <si>
    <t>Dotacja celowa z budżetu państwa jako refundacja wydatków poniesionych ze środków własnych  na współfinansowanie projektów w ramach Regionalnego Programu Operacyjnego Województwa Podkarpackiego na lata 2007 - 2013</t>
  </si>
  <si>
    <t>Program Operacyjny Kapitał Ludzki</t>
  </si>
  <si>
    <t>Dotacja celowa z budżetu państwa na współfinansowanie projektów w ramach Programu Operacyjnego Kapitał Ludzki</t>
  </si>
  <si>
    <t>Regionalne Programy Operacyjne 2014 - 2020 finansowane 
z udziałem środków Europejskiego Funduszu Rozwoju Regionalnego</t>
  </si>
  <si>
    <t>Środki pochodzące z budżetu Unii Europejskiej na realizację projektów własnych w ramach Regionalnego Programu Operacyjnego Województwa Podkarpackiego na lata 2014 - 2020</t>
  </si>
  <si>
    <t>Dotacja celowa z budżetu państwa na współfinansowanie projektów realizowanych w ramach  Regionalnego Programu Operacyjnego Województwa Podkarpackiego na lata 2014 - 2020</t>
  </si>
  <si>
    <t>Regionalne Programy Operacyjne 2014 - 2020 finansowane 
z udziałem środków Europejskiego Funduszu Społecznego</t>
  </si>
  <si>
    <t>Dotacja celowa z budżetu państwa na finansowanie wydatków objętych Pomocą Techniczną Regionalnego Programu Operacyjnego Województwa Podkarpackiego na lata 2014 - 2020</t>
  </si>
  <si>
    <t>Dotacja celowa z budżetu państwa na współfinansowanie projektów realizowanych w ramach Regionalnego Programu Operacyjnego Województwa Podkarpackiego na lata 2014 - 2020</t>
  </si>
  <si>
    <t xml:space="preserve">Dotacja celowa z budżetu państwa na finansowanie wydatków objętych Pomocą Techniczną Regionalnego Programu Operacyjnego Województwa Podkarpackiego na lata 2014 – 2020 </t>
  </si>
  <si>
    <t>OŚWIATA I WYCHOWANIE</t>
  </si>
  <si>
    <t>Dochody realizowane przez jednostki oświatowe z tytułu prowizji dla płatników za rozliczenie i terminowe wpłaty podatku dochodowego od osób fizycznych</t>
  </si>
  <si>
    <t>Dochody realizowane przez jednostki oświatowe z tytułu zwrotu opłat za media, prowizji dla płatników za rozliczenie i terminowe wpłaty podatku dochodowego od osób fizycznych oraz rozliczenie z ZUS</t>
  </si>
  <si>
    <t>Dochody realizowane przez jednostki oświatowe z tytułu najmu pomieszczeń biurowych, zwrotu opłat za media, prowizji dla płatników za rozliczenie i terminowe wpłaty podatku dochodowego od osób fizycznych</t>
  </si>
  <si>
    <t xml:space="preserve">Środki na realizację projektu pn. "Z matematyką przez świat. W poszukiwaniu nowym metod nauczania matematyki i przedmiotów pokrewnych" w ramach ERAZMUS +, Edukacja Szkolna, Akcja 2 Partnerstwa Strategiczne </t>
  </si>
  <si>
    <t>OCHRONA ZDROWIA</t>
  </si>
  <si>
    <t>Dochody z tytułu zwrotu kosztów upomnienia dotyczącego nienależnie pobranych świadczeń rodzinnych</t>
  </si>
  <si>
    <t>Ośrodki adopcyjno - opiekuńcze</t>
  </si>
  <si>
    <t xml:space="preserve">Środki pochodzące z budżetu Unii Europejskiej na realizację projektu własnego Regionalnego Ośrodka Polityki Społecznej w Rzeszowie pn. "Poprawa infrastruktury domów pomocy społecznej i/lub placówek opiekuńczo-wychowawczych oraz podnoszenie kwalifikacji personelu w tym również pielęgniarek i pielęgniarzy ww. instytucji" w ramach Szwajcarsko - Polskiego Programu Współpracy </t>
  </si>
  <si>
    <t>Państwowy Fundusz Rehabilitacji Osób Niepełnosprawnych</t>
  </si>
  <si>
    <t xml:space="preserve">Wpływ 2,5% odpisu ze środków Państwowego Funduszu Rehabilitacji Osób Niepełnosprawnych </t>
  </si>
  <si>
    <t>Wojewódzkie Urzędy Pracy</t>
  </si>
  <si>
    <t>Dochody realizowane przez Wojewódzki Urząd Pracy w Rzeszowie z tytułu zwrotu opłat za media, wynagrodzenia portierów, prowizji dla płatników za rozliczenie i terminowe wpłaty podatku dochodowego od osób fizycznych oraz rozliczenie z ZUS</t>
  </si>
  <si>
    <t>Dotacja celowa z budżetu państwa na współfinansowanie projektów w ramach Programu Operacyjnego Wiedza, Edukacja, Rozwój 2014 - 2020</t>
  </si>
  <si>
    <t>Dotacja celowa z budżetu państwa na finansowanie wydatków objętych Pomocą Techniczną Programu Operacyjnego Wiedza, Edukacja, Rozwój 2014 - 2020</t>
  </si>
  <si>
    <t>Środki z Funduszu Gwarantowanych Świadczeń Pracowniczych</t>
  </si>
  <si>
    <t>GOSPODARKA KOMUNALNA I OCHRONA ŚRODOWISKA</t>
  </si>
  <si>
    <t>Wpłata odpisu 10% od wpływów z tytułu opłaty produktowej
 (opakowania)</t>
  </si>
  <si>
    <t>0400</t>
  </si>
  <si>
    <t xml:space="preserve">Wpływy i wydatki związane z wprowadzeniem do obrotu baterii i akumulatorów </t>
  </si>
  <si>
    <t>Wpłata odpisu 5% od wpływów z tytułu opłaty produktowej
 (baterie i akumulatory)</t>
  </si>
  <si>
    <t xml:space="preserve">Biblioteki </t>
  </si>
  <si>
    <t xml:space="preserve">Dotacje celowe otrzymane z gminy na zadania bieżące realizowane na podstawie porozumień (umów) między jednostkami samorządu terytorialnego </t>
  </si>
  <si>
    <t>Dotacje celowe otrzymane z powiatu na zadania realizowane na podstawie porozumień (umów) między jednostkami samorządu terytorialnego</t>
  </si>
  <si>
    <t>OGRODY BOTANICZNE I ZOOLOGICZNE ORAZ NATURALNE OBSZARY I OBIEKTY CHRONIONEJ PRZYRODY</t>
  </si>
  <si>
    <t>Dotacje celowe otrzymane z budżetu państwa na realizację bieżących zadań własnych samorządu województwa</t>
  </si>
  <si>
    <t>dochody bieżące</t>
  </si>
  <si>
    <t>dochody majątkowe</t>
  </si>
  <si>
    <t>Wojewódzki Zespół Specjalistyczny w Rzeszowie</t>
  </si>
  <si>
    <t>Gmina Rymanów</t>
  </si>
  <si>
    <t>Współfinansowanie realizacji zadania własnego  polegającego na zachowaniu funkcji leczniczych uzdrowiska Rymanów Zdrój - bieżąca obsługa i ekspoloatacja stacji monitoringu powietrza</t>
  </si>
  <si>
    <t>Współfinansowanie realizacji zadania własnego  polegającego na zachowaniu funkcji leczniczych uzdrowiska Rymanów Zdrój - budowa stacji monitoringu powietrza z niezbędnym wyposażeniem</t>
  </si>
  <si>
    <t xml:space="preserve">SZCZEGÓŁOWY PODZIAŁ DOTACJI CELOWYCH Z BUDŻETU DLA JEDNOSTEK SEKTORA FINANSÓW PUBLICZNYCH </t>
  </si>
  <si>
    <t>Przeznaczenie dotacji</t>
  </si>
  <si>
    <t>Jednostki samorządu terytorialnego wg podziału dokonanego przez Zarząd</t>
  </si>
  <si>
    <t xml:space="preserve">Dotacje dla gmin z przeznaczeniem na modernizację dróg dojazdowych do gruntów rolnych </t>
  </si>
  <si>
    <t>Dotacje  celowe dla powiatów z przeznaczeniem na zakup sprzętu pomiarowego i informatycznego oraz oprogramowania niezbędnego do prowadzenia spraw ochrony gruntów rolnych</t>
  </si>
  <si>
    <t>Dotacje celowe dla gmin z przeznaczeniem na budowę i modernizację dróg dojazdowych do gruntów rolnych</t>
  </si>
  <si>
    <t>Dotacje celowe dla powiatów z przeznaczeiem na zakup sprzętu pomiarowego i informatycznego oraz oprogramowania niezbędnego do prowadzenia spraw ochrony gruntów rolnych</t>
  </si>
  <si>
    <t>Komenda Wojewódzka Policji 
w Rzeszowie</t>
  </si>
  <si>
    <t>Bieszczadzki Oddział Straży Granicznej w Przemyślu</t>
  </si>
  <si>
    <t>Wpłata na Fundusz Wsparcia Bieszczadzkiego Oddziału Straży Granicznej w Przemyślu z przeznaczeniem na zakup sprzętu i wyposażenia specjalistycznego</t>
  </si>
  <si>
    <t>Komenda Wojewódzka Państwowej Staży Pożarnej w Rzeszowie</t>
  </si>
  <si>
    <t>Wpłata na Wojewódzki Fundusz  Wsparcia Państwowej  Straży Pożarnej  z przeznaczeniem na zakup sprzętu i wyposażenia specjalistycznego</t>
  </si>
  <si>
    <t>Realizacja zadania inwestycyjnego pn. Utworzenie Kliniki Pediatrii,  Endokrynologii i  Diabetologii Dziecięcej w Klinicznym Szpitalu Wojewódzkim Nr 2 im. Św. Jadwigi Królowej w Rzeszowie</t>
  </si>
  <si>
    <t xml:space="preserve">Wojewódzki Szpital im. Św. Ojca Pio 
w Przemyślu  </t>
  </si>
  <si>
    <t xml:space="preserve">Realizacja zadania inwestycyjnego pn. Zakup, montaż i uruchomienie angiografu z oprzyrządowaniem wraz z przystosowaniem pomieszczeń </t>
  </si>
  <si>
    <t>Teatr im. W.Siemaszkowej 
w Rzeszowie</t>
  </si>
  <si>
    <t>Realizacja wskazanych zadań i programów w tym na:
1) Rzeszowskie Spotkania Teatralne Festiwal Nowego Teatru - 150.000,-zł,
2) Rzeszowskie Spotkania Karnawałowe – 100.000,-zł,
3) organizację imprez towarzyszących otwarciu Muzeum Polaków Ratujących Żydów podczas II wojny światowej im. Rodziny Ulmów w Markowej – 26.000,-zł.</t>
  </si>
  <si>
    <t xml:space="preserve">Filharmonia Podkarpacka im. Artura Malawskiego w Rzeszowie </t>
  </si>
  <si>
    <t xml:space="preserve">Realizacja wskazanych zadań i programów, w tym na:
1) Muzyczny Festiwal w Łańcucie – 500.000,-zł, 
2) organizację cyklu koncertów na terenie Województwa Podkarpackiego pn. „Przestrzeń otwarta dla muzyki” – 200.000,-zł,
3) organizację cyklu koncertów pt. „Fil-kameralia” – 50.000,-zł,
4) organizację imprez towarzyszących otwarciu Muzeum Polaków Ratujących Żydów podczas II wojny światowej im. Rodziny Ulmów w Markowej – 20.000,-zł.
</t>
  </si>
  <si>
    <t xml:space="preserve">Wojewódzki Dom Kultury w Rzeszowie </t>
  </si>
  <si>
    <t>Realizacja wskazanych zadań i programów, w tym na:
1) Międzynarodowy Festiwal Jazzowy "JAZZ BEZ…" – 40.000,-zł,
2) Biesiadę Teatralną – Konfrontacje Zespołów Teatralnych Małych Form w Horyńcu Zdroju – 40.000,-zł,
3) Festiwal Kultury Rzeczpospolitej - 80.000,-zł.</t>
  </si>
  <si>
    <t>Wojewódzka i Miejska Biblioteka Publiczna w Rzeszowie</t>
  </si>
  <si>
    <t xml:space="preserve">Muzeum-Zamek w Łańcucie </t>
  </si>
  <si>
    <t>Realizacja wskazanych zadań i programów na realizację zadania pn.Ochrona i udostępnianie dziedzictwa kulturowego Ordynacji Łańcuckiej poprzez prace remontowo-konserwatorskie i cyfryzację zasobów Muzeum – Zamku w Łańcucie (OR-KA II)</t>
  </si>
  <si>
    <t xml:space="preserve">Muzeum Okręgowe w Rzeszowie </t>
  </si>
  <si>
    <t xml:space="preserve">Realizacja wskazanych zadań i programów na: organizację imprez towarzyszących otwarciu Muzeum Polaków Ratujących Żydów podczas II wojny światowej im. Rodziny Ulmów w Markowej </t>
  </si>
  <si>
    <t>Realizacja wskazanych zadań i programów: na organizację imprez towarzyszących otwarciu Muzeum Polaków Ratujących Żydów podczas II wojny światowej im. Rodziny Ulmów w Markowej</t>
  </si>
  <si>
    <t>Muzeum Budownictwa Ludowego 
w Sanoku</t>
  </si>
  <si>
    <t>Realizacja wskazanych zadań i programów, w tym na:
1) realizację VII edycji Festiwalu „Zaklęte w Drewnie” – 40.000 zł,
2) organizację imprez towarzyszących otwarciu Muzeum Polaków Ratujących Żydów podczas II wojny światowej im. Rodziny Ulmów w Markowej – 5.500 zł.</t>
  </si>
  <si>
    <t>Realizacja wskazanych zadań i programów, w tym na:
1) Festiwal Żarnowiec 2016 – 50.000,- zł,
2) Międzynarodowy Konkurs Plastyczny dla młodzieży szkół podstawowych i gimnazjów pt. „Ilustracja do utworu Marii Konopnickiej” – 10.000,- zł,
3) Konkurs literacki im. Marii Konopnickiej na wiersz i prozę dla młodzieży szkół gimnazjalnych i ponadgimnazjalnych – 10.000,- zł.</t>
  </si>
  <si>
    <t xml:space="preserve"> PODZIAŁ  DOTACJI  CELOWYCH NA  ZADANIA  PUBLICZNE  ZLECONE DO  REALIZACJI  JEDNOSKOM SPOZA SEKTORA FINANSÓW PUBLICZNYCH ORAZ NA  CELE  PUBLICZNE ZWIĄZANE  Z  REALIZACJĄ  ZADAŃ SAMORZĄDU  WOJEWÓDZTWA</t>
  </si>
  <si>
    <t>w  tym :  
DOTACJE</t>
  </si>
  <si>
    <t>na zadania w zakresie bieżącego utrzymania wód i urządzeń wodnych dla spółek wodnych  funkcjonujących na terenie województwa podkarpackiego</t>
  </si>
  <si>
    <t>na realizację Programu aktywizacji gospodarczo-turystycznej województwa podkarpackiego poprzez promocję cennych przyrodniczo i krajobrazowo wskazanych terenów łąkowo-pastwiskowych z zachowaniem bioróżnorodności w oparciu o naturalny wypas ("Podkarpacki Naturalny Wypas")</t>
  </si>
  <si>
    <t>na rekompensatę  z tytułu wykonywania kolejowych przewozów osób</t>
  </si>
  <si>
    <t>na zadania i cele publiczne z zakresu upowszechniania turystyki</t>
  </si>
  <si>
    <t xml:space="preserve">na zadania i cele publiczne z zakresu ratownictwa górskiego i wodnego </t>
  </si>
  <si>
    <t>na zadania i cele publiczne z zakresu przeciwdziałania narkomanii w ramach "Wojewódzkiego Programu Przeciwdziałania Narkomanii"</t>
  </si>
  <si>
    <t xml:space="preserve">na zadania i cele publiczne z zakresu wychowania w trzeźwości i przeciwdziałania alkoholizmowi  w ramach "Wojewódzkiego Programu Profilaktyki i Rozwiązywania Problemów Alkoholowych" </t>
  </si>
  <si>
    <t>na zadania i cele z zakresu przeciwdziałania przemocy w rodzinie w ramach "Wojewódzkiego Programu Przeciwdziałania Przemocy w Rodzinie"</t>
  </si>
  <si>
    <t xml:space="preserve">na zadania i cele z zakresu wspierania rodziny i systemu pieczy zastępczej w ramach "Wojewódzkiego Programu Wspierania Rodziny i Systemu Pieczy Zastępczej" </t>
  </si>
  <si>
    <t>na zadania i cele z zakresu pomocy społecznej w ramach "Wojewódzkiego Programu Pomocy Społecznej"</t>
  </si>
  <si>
    <t>na zadania i cele z zakresu rehabilitacji zawodowej i społecznej oraz zatrudniania osób niepełnosprawnych w ramach "Wojewódzkiego Programu na Rzecz Wyrównywania Szans Osób Niepełnosprawnych i Przeciwdziałania ich Wykluczeniu Społecznemu"</t>
  </si>
  <si>
    <t xml:space="preserve">na zadania i cele publiczne z zakresu kultury </t>
  </si>
  <si>
    <t>na zadania i cele z zakresu ochrony i konserwacji zabytków - szczegółowy podział dotacji zgodnie z zasadami udzielania dotacji dokonany zostanie odrębną uchwałą Sejmiku Województwa</t>
  </si>
  <si>
    <t xml:space="preserve">na zadania i cele publiczne z zakresu kultury fizycznej i sportu </t>
  </si>
  <si>
    <t>dot dla ben</t>
  </si>
  <si>
    <t xml:space="preserve"> Plan wydatków budżetu Województwa Podkarpackiego na 2016r. -  
na zadania realizowane w ramach programów finansowanych z udziałem środków, o których mowa w art. 5 ust. 1 pkt 2 i 3, 
ustawy o finansach publicznych z perspektywy finansowej 2007-2013
(wg działów, rozdziałów, paragrafów i rodzajów wydatków)</t>
  </si>
  <si>
    <t>Jednostka realizująca / Nazwa zadania / Program</t>
  </si>
  <si>
    <t>Kwota ogółem w 2016r.</t>
  </si>
  <si>
    <t>budżet województwa</t>
  </si>
  <si>
    <t>środki UE</t>
  </si>
  <si>
    <t>budżet państwa</t>
  </si>
  <si>
    <t>inne</t>
  </si>
  <si>
    <t>6.</t>
  </si>
  <si>
    <t>7.</t>
  </si>
  <si>
    <t>8.</t>
  </si>
  <si>
    <t>9.</t>
  </si>
  <si>
    <t>10.</t>
  </si>
  <si>
    <t>I</t>
  </si>
  <si>
    <t>URZĄD MARSZAŁKOWSKI WOJEWÓDZTWA PODKARPACKIEGO</t>
  </si>
  <si>
    <t>1</t>
  </si>
  <si>
    <r>
      <t xml:space="preserve">Dotacja celowa dla beneficjentów realizujących projekty w ramach osi I-VII
</t>
    </r>
    <r>
      <rPr>
        <sz val="9"/>
        <rFont val="Arial"/>
        <family val="2"/>
        <charset val="238"/>
      </rPr>
      <t>Regionalny Program Operacyjny Województwa Podkarpackiego na lata 2007-2013
(Departament Rozwoju Regionalnego)</t>
    </r>
  </si>
  <si>
    <t>OGÓŁEM
z tego:</t>
  </si>
  <si>
    <t>wydatki majątkowe</t>
  </si>
  <si>
    <t>6669</t>
  </si>
  <si>
    <t>2</t>
  </si>
  <si>
    <r>
      <t xml:space="preserve">Budowa Centrum Wystawienniczo - Kongresowego Województwa Podkarpackiego
</t>
    </r>
    <r>
      <rPr>
        <sz val="9"/>
        <rFont val="Arial"/>
        <family val="2"/>
        <charset val="238"/>
      </rPr>
      <t>Program Operacyjny Rozwój Polski Wschodniej na lata 2007-2013
(Departament Rozwoju Regionalnego)</t>
    </r>
  </si>
  <si>
    <t>wynagrodzenia wraz z pochodnymi</t>
  </si>
  <si>
    <t>pozostałe wydatki bieżące</t>
  </si>
  <si>
    <t>II</t>
  </si>
  <si>
    <t>WOJEWÓDZKI URZĄD PRACY</t>
  </si>
  <si>
    <r>
      <t xml:space="preserve">Dotacja celowa dla beneficjentów realizujących projekty w ramach priorytetów VI-IX
</t>
    </r>
    <r>
      <rPr>
        <sz val="9"/>
        <rFont val="Arial"/>
        <family val="2"/>
        <charset val="238"/>
      </rPr>
      <t>Program Operacyjny Kapitał Ludzki</t>
    </r>
  </si>
  <si>
    <t>2919</t>
  </si>
  <si>
    <t>III</t>
  </si>
  <si>
    <t>REGIONALNY OŚRODEK POLITYKI SPOŁECZNEJ</t>
  </si>
  <si>
    <r>
      <t xml:space="preserve">Poprawa infrastruktury domów pomocy społecznej i/lub placówek opiekuńczo-wychowawczych oraz podnoszenie kwalifikacji personelu w tym również pielęgniarek i pielęgniarzy ww instytucji
</t>
    </r>
    <r>
      <rPr>
        <sz val="9"/>
        <rFont val="Arial"/>
        <family val="2"/>
        <charset val="238"/>
      </rPr>
      <t>Szwajcarsko - Polski Program Współpracy</t>
    </r>
  </si>
  <si>
    <t>wydatki bieżące,
w tym:</t>
  </si>
  <si>
    <t>dotacje dla partnerów</t>
  </si>
  <si>
    <t>RAZEM</t>
  </si>
  <si>
    <t xml:space="preserve"> Plan wydatków budżetu Województwa Podkarpackiego na 2016r. -  
na zadania realizowane w ramach programów finansowanych z udziałem środków, o których mowa w art. 5 ust. 1 pkt 2 i 3, 
ustawy o finansach publicznych z perspektywy finansowej 2014-2020
(wg działów, rozdziałów, paragrafów i rodzajów wydatków)</t>
  </si>
  <si>
    <r>
      <t xml:space="preserve">Dotacja celowa dla beneficjentów realizujących projekty o charakterze rewitalizacyjnym w ramach osi I - VI
</t>
    </r>
    <r>
      <rPr>
        <sz val="9"/>
        <rFont val="Arial"/>
        <family val="2"/>
        <charset val="238"/>
      </rPr>
      <t>Regionalny Program Operacyjny Województwa Podkarpackiego na lata 2014-2020
(Departament Zarządzania Regionalnym Programem Operacyjnym)</t>
    </r>
  </si>
  <si>
    <r>
      <rPr>
        <i/>
        <sz val="9"/>
        <rFont val="Arial"/>
        <family val="2"/>
        <charset val="238"/>
      </rPr>
      <t xml:space="preserve">Wsparcie procesu wdrażania RPO WP 2014-2020 poprzez działania o charakterze informacyjno-promocyjno-edukacyjnym w 2016 roku </t>
    </r>
    <r>
      <rPr>
        <sz val="9"/>
        <rFont val="Arial"/>
        <family val="2"/>
        <charset val="238"/>
      </rPr>
      <t xml:space="preserve">
Pomoc Techniczna - Regionalny Program Operacyjny Województwa Podkarpackiego na lata 2014-2020
(Departament Zarządzania Regionalnym Programem Operacyjnym)</t>
    </r>
  </si>
  <si>
    <t>3</t>
  </si>
  <si>
    <r>
      <t>Wsparcie procesu ewaluacji RPO WP 2014-2020 w roku 2016</t>
    </r>
    <r>
      <rPr>
        <sz val="9"/>
        <rFont val="Arial"/>
        <family val="2"/>
        <charset val="238"/>
      </rPr>
      <t xml:space="preserve">
Pomoc Techniczna - Regionalny Program Operacyjny Województwa Podkarpackiego na lata 2014-2020
(Departament Zarządzania Regionalnym Programem Operacyjnym)</t>
    </r>
  </si>
  <si>
    <t>4</t>
  </si>
  <si>
    <r>
      <t>Obsługa funkcjonowania Komitetu Monitorującego Regionalny Program Operacyjny Województwa Podkarpackiego na lata 2014-2020 w 2016 roku</t>
    </r>
    <r>
      <rPr>
        <sz val="9"/>
        <rFont val="Arial"/>
        <family val="2"/>
        <charset val="238"/>
      </rPr>
      <t xml:space="preserve">
Pomoc Techniczna - Regionalny Program Operacyjny Województwa Podkarpackiego na lata 2014-2020
(Departament Zarządzania Regionalnym Programem Operacyjnym)</t>
    </r>
  </si>
  <si>
    <t>5</t>
  </si>
  <si>
    <r>
      <rPr>
        <i/>
        <sz val="9"/>
        <rFont val="Arial"/>
        <family val="2"/>
        <charset val="238"/>
      </rPr>
      <t>Zatrudnienie pracowników Urzędu Marszałkowskiego Województwa Podkarpackiego w Rzeszowie zaangażowanych w realizację RPO WP w 2016 roku</t>
    </r>
    <r>
      <rPr>
        <sz val="9"/>
        <rFont val="Arial"/>
        <family val="2"/>
        <charset val="238"/>
      </rPr>
      <t xml:space="preserve">
Pomoc Techniczna - Regionalny Program Operacyjny Województwa Podkarpackiego na lata 2014-2020
(Departament Organizacyjno- Prawny)</t>
    </r>
  </si>
  <si>
    <t>6</t>
  </si>
  <si>
    <r>
      <t xml:space="preserve">Podnoszenie kwalifikacji pracowników oraz wsparcie funkcjonowania UMWP w Rzeszowie w realizacji RPO WP w 2016 roku
</t>
    </r>
    <r>
      <rPr>
        <sz val="9"/>
        <rFont val="Arial"/>
        <family val="2"/>
        <charset val="238"/>
      </rPr>
      <t>Pomoc Techniczna - Regionalny Program Operacyjny Województwa Podkarpackiego na lata 2014-2020
(Departament Organizacyjno- Prawny)</t>
    </r>
  </si>
  <si>
    <t>7</t>
  </si>
  <si>
    <r>
      <t xml:space="preserve">Dostawa, wdrożenie i utrzymanie Lokalnego Systemu Informatycznego służącego do obsługi RPO WP na lata 2014-2020 na potrzeby Urzędu Marszałkowskiego Województwa Podkarpackiego w Rzeszowie
</t>
    </r>
    <r>
      <rPr>
        <sz val="9"/>
        <rFont val="Arial"/>
        <family val="2"/>
        <charset val="238"/>
      </rPr>
      <t>Pomoc Techniczna - Regionalny Program Operacyjny Województwa Podkarpackiego na lata 2014-2020
(Departament Organizacyjno - Prawny)</t>
    </r>
  </si>
  <si>
    <t>8</t>
  </si>
  <si>
    <r>
      <t xml:space="preserve">Wsparcie działalnośći Regionalnego Obserwatorium Terytorialnego w procesie dostarczania niezbędnej wiedzy do zarządzania rozwojem regionu
</t>
    </r>
    <r>
      <rPr>
        <sz val="9"/>
        <rFont val="Arial"/>
        <family val="2"/>
        <charset val="238"/>
      </rPr>
      <t>Pomoc Techniczna - Regionalny Program Operacyjny Województwa Podkarpackiego na lata 2014-2020
(Departament Rozwoju Regionalnego)</t>
    </r>
  </si>
  <si>
    <t>9</t>
  </si>
  <si>
    <r>
      <t xml:space="preserve">Wsparcie zadań Departamentu Rozwoju Regionalnego w zakresie RPO WP 2007-2013 w 2016 roku
</t>
    </r>
    <r>
      <rPr>
        <sz val="9"/>
        <rFont val="Arial"/>
        <family val="2"/>
        <charset val="238"/>
      </rPr>
      <t>Pomoc Techniczna - Regionalny Program Operacyjny Województwa Podkarpackiego na lata 2014-2020
(Departament Rozwoju Regionalnego)</t>
    </r>
  </si>
  <si>
    <t>10</t>
  </si>
  <si>
    <r>
      <t xml:space="preserve">Doskonalenie kompetencji zespołu wdrażającego Regionalna Strategię Innowacji Województwa Podkarpackiego na latz 2014-2020 na rzecz inteligentnych specjalizacji (RIS3)
</t>
    </r>
    <r>
      <rPr>
        <sz val="9"/>
        <rFont val="Arial"/>
        <family val="2"/>
        <charset val="238"/>
      </rPr>
      <t>Pomoc Techniczna - Regionalny Program Operacyjny Województwa Podkarpackiego na lata 2014-2020
(Departament Rozwoju Regionalnego)</t>
    </r>
  </si>
  <si>
    <t>11</t>
  </si>
  <si>
    <t>Inteligentne specjalizacje - narzędzie wzrostu innowacyjności i konkurencyjnośći województwa podkarpackiego
Regionalny Program Operacyjny Województwa Podkarpackiego na lata 2014-2020
(Departament Rozwoju Regionalnego)</t>
  </si>
  <si>
    <t>12</t>
  </si>
  <si>
    <t>Indywidualizacja procesu nauczania z uwzględnieniem wsparcia stypendialnego szansą na dalszy rozwój uczniów szkół gimnazjalnych i ponadgimnazjalnych prowadzących kształcenie ogólne - rok szkolny 2015/2016
Regionalny Program Operacyjny Województwa Podkarpackiego na lata 2014-2020
(Departament Edukacji, Nauki i Sportu)</t>
  </si>
  <si>
    <t>13</t>
  </si>
  <si>
    <t>Indywidualizacja procesu nauczania z uwzględnieniem wsparcia stypendialnego szansą na dalszy rozwój uczniów podkarpackich szkół zawodowych - rok szkolny 2015/2016
Regionalny Program Operacyjny Województwa Podkarpackiego na lata 2014-2020
(Departament Edukacji, Nauki i Sportu)</t>
  </si>
  <si>
    <t>14</t>
  </si>
  <si>
    <r>
      <t xml:space="preserve">Pomoc techniczna
</t>
    </r>
    <r>
      <rPr>
        <sz val="9"/>
        <rFont val="Arial"/>
        <family val="2"/>
        <charset val="238"/>
      </rPr>
      <t>Program Rozwoju Obszarów Wiejskich na lata 2014-2020
(Departament Programów Rozwoju Obszarów Wiejskich)</t>
    </r>
  </si>
  <si>
    <t>15</t>
  </si>
  <si>
    <r>
      <t xml:space="preserve">Pomoc techniczna
</t>
    </r>
    <r>
      <rPr>
        <sz val="9"/>
        <rFont val="Arial"/>
        <family val="2"/>
        <charset val="238"/>
      </rPr>
      <t>Program Operacyjny Rybactwo i Morze na lata 2014-2020
(Departament Programów Rozwoju Obszarów Wiejskich)</t>
    </r>
  </si>
  <si>
    <t>16</t>
  </si>
  <si>
    <r>
      <t xml:space="preserve">System Informacji o Funduszach Europejskich
</t>
    </r>
    <r>
      <rPr>
        <sz val="9"/>
        <rFont val="Arial"/>
        <family val="2"/>
        <charset val="238"/>
      </rPr>
      <t>Program Operacyjny Pomoc Techniczna na lata 2014-2020
(Departament Rozwoju Regionalnego)</t>
    </r>
  </si>
  <si>
    <t>17</t>
  </si>
  <si>
    <r>
      <t xml:space="preserve">Projekt wsparcia jednostek samorządu terytorialnego w opracowaniu lub aktualizacji programów rewitalizacji
</t>
    </r>
    <r>
      <rPr>
        <sz val="9"/>
        <rFont val="Arial"/>
        <family val="2"/>
        <charset val="238"/>
      </rPr>
      <t>Program Operacyjny Pomoc Techniczna na lata 2014-2020
(Departament Rozwoju Regionalnego)</t>
    </r>
  </si>
  <si>
    <t>dotacje dla beneficjentów</t>
  </si>
  <si>
    <t>PODKARPACKI ZARZĄD DRÓG WOJEWÓDZKICH</t>
  </si>
  <si>
    <t>Budowa  północnej obwodnicy miasta Sokołowa Małopolskiego w ramach rozbudowy drogi wojewódzkiej nr 875 Mielec – Kolbuszowa – Leżajsk – Sokołów Małopolski 
Regionalny Program Operacyjny Województwa Podkarpackiego na lata 2014-2020</t>
  </si>
  <si>
    <t>Budowa drogi wojewódzkiej nr 886 na odcinku pomiędzy planowaną obwodnicą miasta Sanoka a drogą krajową nr 28
Regionalny Program Operacyjny Województwa Podkarpackiego na lata 2014-2020</t>
  </si>
  <si>
    <t>Przebudowa/rozbudowa drogi wojewódzkiej nr 988 Babica–Strzyżów–Warzyce na odcinku od końca obwodnicy m. Czudec do początku obwodnicy m. Strzyżów
Regionalny Program Operacyjny Województwa Podkarpackiego na lata 2014-2020</t>
  </si>
  <si>
    <t>Budowa obwodnicy m. Kolbuszowa i Werynia w ciągu drogi wojewódzkiej nr 875 Mielec–Leżajsk
Regionalny Program Operacyjny Województwa Podkarpackiego na lata 2014-2020</t>
  </si>
  <si>
    <t>Budowa obwodnicy m. Dynów w ciągu drogi wojewódzkiej nr 835 Lublin–Przeworsk–Grabownica Starzeńska
Regionalny Program Operacyjny Województwa Podkarpackiego na lata 2014-2020</t>
  </si>
  <si>
    <t>Budowa obwodnicy m. Oleszyce i m. Cieszanów w ciągu drogi wojewódzkiej nr 865 Jarosław–Oleszyce–Cieszanów–Bełżec
Regionalny Program Operacyjny Województwa Podkarpackiego na lata 2014-2020</t>
  </si>
  <si>
    <t>Budowa obwodnicy m. Lubaczów w ciągu drogi wojewódzkiej nr 866 Dachnów - Lubaczów- Granica Państwa
Regionalny Program Operacyjny Województwa Podkarpackiego na lata 2014-2020</t>
  </si>
  <si>
    <t>Przebudowa/rozbudowa drogi wojewódzkiej nr 861 Bojanów–Jeżowe–Kopki na odcinku od skrzyżowania drogi krajowej 19 w m. Jeżowe do węzła S-19 Podgórze
Regionalny Program Operacyjny Województwa Podkarpackiego na lata 2014-2020</t>
  </si>
  <si>
    <t>Przygotowanie i realizacja odcinka drogi wojewódzkiej pomiędzy granicą Rzeszowa a węzłem w Kielanówce drogi ekspresowej S-19
Program Operacyjny Polska Wschodnia na lata 2014-2020</t>
  </si>
  <si>
    <t>PODKARPACKI ZARZĄD MELIORACJI I URZĄDZEŃ WODNYCH</t>
  </si>
  <si>
    <r>
      <t xml:space="preserve">Ropa - Etap 1 - budowa lewego obwałowania rzeki Ropy na odcinku od drogi powiatowej w Trzcinicy do mostu kolejowego w Siedliskach Sławęckich na terenie miejscowości Trzcinica, gm. Jasło oraz Przysieki, Siedliska Sławęckie, Pusta Wola, gm. Skołyszyn, woj. podkarpackie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</si>
  <si>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Zabezpieczenie przeciwpowodziowe obszarów zalewowych położonych na prawym brzegu rzeki Wisłoki w km 50+500-57+800 na terenie miejscowości Dębica i Kędzierz, woj. podkarpackie
</t>
    </r>
    <r>
      <rPr>
        <sz val="9"/>
        <rFont val="Arial"/>
        <family val="2"/>
        <charset val="238"/>
      </rPr>
      <t>Regionalny Program Operacyjny Województwa Podkarpackiego na lata 2014-2020</t>
    </r>
  </si>
  <si>
    <t>IV</t>
  </si>
  <si>
    <r>
      <t xml:space="preserve">Dotacja celowa dla beneficjentów realizujących projekty w ramach osi I
</t>
    </r>
    <r>
      <rPr>
        <sz val="9"/>
        <rFont val="Arial"/>
        <family val="2"/>
        <charset val="238"/>
      </rPr>
      <t>Program Operacyjny Wiedza Edukacja Rozwój na lata 2014-2020</t>
    </r>
  </si>
  <si>
    <r>
      <t xml:space="preserve">Dotacja celowa dla beneficjentów realizujących projekty w ramach osi VII - IX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</si>
  <si>
    <r>
      <t xml:space="preserve">Pomoc techniczna
</t>
    </r>
    <r>
      <rPr>
        <sz val="9"/>
        <rFont val="Arial"/>
        <family val="2"/>
        <charset val="238"/>
      </rPr>
      <t>Program Operacyjny Wiedza, Edukacja, Rozwój na lata 2014-2020</t>
    </r>
  </si>
  <si>
    <r>
      <t xml:space="preserve">Pomoc techniczna
</t>
    </r>
    <r>
      <rPr>
        <sz val="9"/>
        <rFont val="Arial"/>
        <family val="2"/>
        <charset val="238"/>
      </rPr>
      <t>Regionalny Program Operacyjny Województwa Podkarpackiego na lata 2014-2020</t>
    </r>
  </si>
  <si>
    <t>4489</t>
  </si>
  <si>
    <t>V</t>
  </si>
  <si>
    <t>PODKARPACKIE CENTRUM EDUKACJI NAUCZYCIELI</t>
  </si>
  <si>
    <r>
      <t xml:space="preserve">Z matematyką przez świat. W poszukiwaniu nowych metod nauczania matematyki i przedmiotów pokrewnych.
</t>
    </r>
    <r>
      <rPr>
        <sz val="9"/>
        <rFont val="Arial"/>
        <family val="2"/>
        <charset val="238"/>
      </rPr>
      <t>ERAZMUS +, Edukacja Szkolna, Akcja 2 Partnerstwa Strategiczne</t>
    </r>
  </si>
  <si>
    <t>PODZIAŁ DOTACJI CELOWYCH NA REALIZACJĘ 
PROGRAMU OPERACYJNEGO KAPITAŁ LUDZKI</t>
  </si>
  <si>
    <t>Dotacje dla jednostek spoza sektora finansów publicznych</t>
  </si>
  <si>
    <t>Kwota ogółem</t>
  </si>
  <si>
    <t>dotacja celowa dla beneficjentów realizujących projekty w ramach PO KL</t>
  </si>
  <si>
    <t>PODZIAŁ DOTACJI CELOWYCH NA REALIZACJĘ 
PROGRAMU OPERACYJNEGO WIEDZA, EDUKACJA, ROZWÓJ NA LATA 2014-2020</t>
  </si>
  <si>
    <t>dotacja celowa dla beneficjentów realizujących projekty w ramach POWER na lata 2014-2020</t>
  </si>
  <si>
    <t>PODZIAŁ DOTACJI CELOWYCH NA REALIZACJĘ 
REGIONALNEGO PROGRAMU OPERACYJNEGO WOJEWÓDZTWA PODKARPACKIEGO NA LATA 2007-2013</t>
  </si>
  <si>
    <t>dotacja celowa dla beneficjentów realizujących projekty w ramach RPO WP na lata 2007-2013</t>
  </si>
  <si>
    <t>dotacja celowa dla beneficjentów realizujących projekty w ramach RPO WP na lata 2014-2020</t>
  </si>
  <si>
    <t>PODZIAŁ DOTACJI CELOWYCH NA REALIZACJĘ 
REGIONALNEGO PROGRAMU OPERACYJNEGO WOJEWÓDZTWA PODKARPACKIEGO NA LATA 2014-2020</t>
  </si>
  <si>
    <t>PODZIAŁ DOTACJI CELOWYCH NA REALIZACJĘ 
PROGRAMU OPERACYJNEGO POMOC TECHNICZNA NA LATA 2014-2020</t>
  </si>
  <si>
    <t>Dotacje dla jednostek sektora finansów publicznych</t>
  </si>
  <si>
    <t>dotacje dla beneficjentów projektu własnego Urzędu Marszałkowskiego Województwa Podkarpackiego pn. "Projekt wsparcia jednostek samorządu terytorialnego w opracowaniu lub aktualizacji programów rewitalizacji"</t>
  </si>
  <si>
    <t>Dochody realizowane przez Podkarpackie Biuro Geodezji i Terenów Rolnych w Rzeszowie z tytułu: scaleń gruntów w ramach PROW na lata 2014 - 2020 oraz okołoautostradowych, robót geodezyjnych (klasyfikacje, podziały), prowizji dla płatników za rozliczenie i terminowe wpłaty podatku dochodowego oraz rozliczenie z ZUS,  zwrotów opłat za korzystanie z centrali telefonicznej</t>
  </si>
  <si>
    <t>Dochody realizowane przez Podkarpacki Zarząd Melioracji i Urządzeń Wodnych w Rzeszowie z tytułu wynajmu wolnych pomieszczeń biurowych i garażowych, partycypacji w kosztach utrzymania czystości klatki schodowej, zwrotu opłat za media, prowizji dla płatników za rozliczenie i terminowe wpłaty podatku dochodowego od osób fizycznych oraz rozliczenie z ZUS</t>
  </si>
  <si>
    <t xml:space="preserve">Program Rozwoju Obszarów Wiejskich </t>
  </si>
  <si>
    <t>Program Operacyjny Zrównoważony rozwój sektora rybołówstwa i nadbrzeżnych obszarów rybackich 2007-2013 oraz Program Operacyjny Rybactwo i Morze 2014-2020</t>
  </si>
  <si>
    <t xml:space="preserve">Wpłata na Wojewódzki Fundusz Wsparcia Policji z przeznaczeniem na zakup sprzętu i wyposażenia specjalistycznego </t>
  </si>
  <si>
    <t>Realizacja wskazanych zadań i programów, w tym na:
1) Dyskusyjne Kluby Książki – 30.000,-zł,
2) „Wykonywanie zadań powiatowej biblioteki publicznej dla Powiatu Rzeszowskiego” – 72.000,-zł.</t>
  </si>
  <si>
    <t>Realizacja wskazanych zadań i programów, w tym na:
1) VI Karpacki Festiwal Archeologiczny „Dwa Oblicza” – Trzcinica 2016 – 180.000 zł,
2)  realizację zadania pn. Rewitalizacja elewacji i dachu oraz wymiana systemów bezpieczeństwa ppoż., antywłamaniowego oraz CCTV w zabytkowym budynku Muzeum Podkarpackiego w Krośnie  – 217.500 zł.</t>
  </si>
  <si>
    <t xml:space="preserve">Dochody z najmu i dzierżawy składników majątkowych </t>
  </si>
  <si>
    <t xml:space="preserve">Wpływy z refundacji opłat poniesionych w celu uzyskania praw do dysponowania nieruchomościami w związku z realizacją i utrzymaniem infrastruktury wytworzonej projektu pn.: "Sieć Szerokopasmowa Polski Wschodniej - Województwo Podkarpackie" </t>
  </si>
  <si>
    <t>Realizacja wskazanych zadań i programów:  
1) opracowanie redakcyjne i druk „Podkarpackiego Informatora Kulturalnego” oraz łamanie i druk „Kalendarza Imprez Kulturalnych” – 100.000,- zł,
2) Podkarpacka Jesień Jazzową – 25.000,-zł</t>
  </si>
  <si>
    <t>Dofinansowanie bieżącej działalności statutowej Muzeum Historycznego w Sanoku w zakresie gromadzenia, przechowywania i udostępniania zbiorów</t>
  </si>
  <si>
    <t xml:space="preserve">Wpłata odpisu 3% od wpływów z opłat za korzystanie ze środowiska </t>
  </si>
  <si>
    <r>
      <t xml:space="preserve">Budowa drogi wojewódzkiej nr 835 Lublin - Przeworsk - Grabownica Starzeńska na odcinku od węzła A4 "Przeworsk" do drogi krajowej 94 (Gwizdaj)
</t>
    </r>
    <r>
      <rPr>
        <sz val="9"/>
        <rFont val="Arial"/>
        <family val="2"/>
        <charset val="238"/>
      </rPr>
      <t>Regionalny Program Operacyjny Województwa Podkarpackiego na lata 2014-2020</t>
    </r>
  </si>
  <si>
    <t>Przebudowa/ rozbudowa drogi wojewódzkiej nr 835 Lublin–Przeworsk–Grabownica Starzeńska na odcinku od skrzyżowania z drogą wojewódzką nr 870 w m. Sieniawa do łącznika drogi  wojewódzkiej z węzłem „Przeworsk” w miejscowości Gorliczyna
Regionalny Program Operacyjny Województwa Podkarpackiego na lata 2014-2020</t>
  </si>
  <si>
    <t>Budowa drogi wojewódzkiej nr 992 Jasło– Granica Państwa na odcinku pomiędzy drogą krajową nr 28 a drogą krajową nr 73
Regionalny Program Operacyjny Województwa Podkarpackiego na lata 2014-2020</t>
  </si>
  <si>
    <t>Przebudowa/rozbudowa drogi wojewódzkiej nr 867 na odcinku od Oleszyc do Lubaczowa wraz z budową obwodnicy Oleszyc
Regionalny Program Operacyjny Województwa Podkarpackiego na lata 2014-2020</t>
  </si>
  <si>
    <t>1) nieruchomości do sprzedaży, w tym:
- działki okołolotniskowe  - wartość 9.240.000,-zł,
- Przemyśl ul. Łukasińskiego (obiekt Kolegium Nauczycielskiego im. A. Fredry w Przemyślu) - (wartość 3.500.000,-zł/rejestr zabytków - 50% bonifikaty) wartość 1.750.000,-zł, 
- Dębica (nieruchomość po WKTS) działki nr 1634/ i 1635 – wartość 
900.000,-zł,
- lokal Nr 1 w budynku przy ul. Targowej 1 i lokal nr 5  w budynku przy 
ul. Targowej 3 w Rzeszowie – notarialna umowa zamiany nieruchomości zawarta w dniu 22.07.2015 r. pomiędzy Województwem a Gminą Rzeszów 
(I transza wpłacona przed aktem notarialnym  w wysokości 1.000.000,-zł) 
II transza płatna do listopada 2016 r. w wysokości – 1.200.000,-zł,
2) nieruchomości do oddania w wieczyste użytkowanie: działki nr 425/17, 425/21 położone w Tajęcinie gm. Trzebownisko (pierwsza opłata z tytułu użytkowania wieczystego) – wartość 200.000,-zł.</t>
  </si>
  <si>
    <t>Komendy wojewódzkie Państwowej Straży Pożarnej</t>
  </si>
  <si>
    <t>Realizację zadania inwestycyjnych pn.: " Muzeum Polaków ratujących Żydów na Podkarpaciu im. Rodziny Ulmów w Markowej".</t>
  </si>
  <si>
    <t>Tabela Nr 1 do Uchwały XVII/312/15
Sejmiku Województwa Podkarpackiego w Rzeszowie 
z dnia 28 grudnia 2015 r.</t>
  </si>
  <si>
    <t>Tabela Nr 2 do Uchwały Nr   XVII/312/15                     
Sejmiku Województwa Podkarpackiego 
w Rzeszowie z dnia 28 grudnia 2015 r.</t>
  </si>
  <si>
    <t xml:space="preserve">Tabela Nr 3 do Uchwały XVII/312/15
Sejmiku Województwa Podkarpackiego 
w Rzeszowie 
z dnia 28 grudnia 2015 r. </t>
  </si>
  <si>
    <t xml:space="preserve">Tabela Nr 4 do Uchwały XVII/312/15 
Sejmiku Województwa Podkarpackiego 
w Rzeszowie 
z dnia 28 grudnia 2015 r. </t>
  </si>
  <si>
    <t>Załącznik Nr 1
do  Uchwały Nr XVII/312/15
Sejmiku Województwa Podkarpackiego 
 w Rzeszowie  z dnia 28 grudnia 2015 r.</t>
  </si>
  <si>
    <t>Załącznik Nr 2
do  Uchwały Nr  XVII/312/15
Sejmiku Województwa Podkarpackiego 
 w Rzeszowie  z dnia 28 grudnia 2015 r.</t>
  </si>
  <si>
    <t>Załącznik  Nr 3
do  Uchwały Nr  XVII/312/15
Sejmiku Województwa Podkarpackiego 
 w Rzeszowie  z dnia 28 grudnia 2015 r.</t>
  </si>
  <si>
    <t>Załącznik Nr 4
do  Uchwały Nr  XVII/312/15
Sejmiku Województwa Podkarpackiego 
 w Rzeszowie  z dnia  28 grudnia 2015 r.</t>
  </si>
  <si>
    <t>Załącznik Nr 5
do  Uchwały Nr  XVII/312/15
Sejmiku Województwa Podkarpackiego 
 w Rzeszowie  z dnia  28 grudnia 2015 r.</t>
  </si>
  <si>
    <t>Załącznik Nr 6
do  Uchwały Nr XVII/312/15
Sejmiku Województwa Podkarpackiego 
 w Rzeszowie  z dnia 28 grudnia 2015 r.</t>
  </si>
  <si>
    <t>Załącznik Nr 7
do  Uchwały Nr  XVII/312/15
Sejmiku Województwa Podkarpackiego 
 w Rzeszowie  z dnia 28 grudnia 2015 r.</t>
  </si>
  <si>
    <t xml:space="preserve">Załącznik Nr 8
do  Uchwały XVII/312/15 
Sejmiku Województwa Podkarpackiego 
 w Rzeszowie  z dnia 28 grudnia 2015 r.  </t>
  </si>
  <si>
    <t xml:space="preserve">Załącznik Nr 9
do  Uchwały XVII/312/15 
Sejmiku Województwa Podkarpackiego 
 w Rzeszowie  
z dnia 28 grudnia 2015 r.  </t>
  </si>
  <si>
    <t xml:space="preserve">Załącznik Nr 10
do  Uchwały XVII/312/15
Sejmiku Województwa Podkarpackiego 
 w Rzeszowie  z dnia 28  grudnia 2015 r. </t>
  </si>
  <si>
    <t xml:space="preserve">Załącznik Nr 11
do  Uchwały XVII/312/15
Sejmiku Województwa Podkarpackiego 
 w Rzeszowie  z dnia 28 grudnia 2015 r. </t>
  </si>
  <si>
    <t xml:space="preserve">Załącznik Nr 12
do  Uchwały XVII/312/15 
Sejmiku Województwa Podkarpackiego 
 w Rzeszowie  z dnia 28 grudnia 2015 r. </t>
  </si>
  <si>
    <t>Załącznik Nr 13
do  Uchwały Nr XVII/312/15
Sejmiku Województwa Podkarpackiego 
 w Rzeszowie  z dnia 28 grudnia 2015 r.</t>
  </si>
  <si>
    <t>Załącznik Nr 14
do  Uchwały Nr XVII/312/15
Sejmiku Województwa Podkarpackiego 
 w Rzeszowie  z dnia  28 grudnia 2015 r.</t>
  </si>
  <si>
    <t>Załącznik Nr 15
do  Uchwały XVII/312/15
Sejmiku Województwa Podkarpackiego 
 w Rzeszowie  z dnia 28 grudnia 2015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</si>
</sst>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9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sz val="8"/>
      <name val="Arial CE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Times New Roman CE"/>
      <family val="1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sz val="12"/>
      <name val="Arial"/>
      <family val="2"/>
      <charset val="238"/>
    </font>
    <font>
      <i/>
      <sz val="11"/>
      <name val="Arial"/>
      <family val="2"/>
      <charset val="238"/>
    </font>
    <font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sz val="11"/>
      <name val="Times New Roman CE"/>
      <family val="1"/>
      <charset val="238"/>
    </font>
    <font>
      <sz val="11"/>
      <name val="Arial"/>
      <family val="2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sz val="11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i/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i/>
      <sz val="10"/>
      <color rgb="FFFF0000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Times New Roman CE"/>
      <family val="1"/>
      <charset val="238"/>
    </font>
    <font>
      <b/>
      <sz val="10"/>
      <color rgb="FFFF0000"/>
      <name val="Arial"/>
      <family val="2"/>
      <charset val="238"/>
    </font>
    <font>
      <i/>
      <sz val="10"/>
      <name val="Times New Roman CE"/>
      <family val="1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i/>
      <sz val="14"/>
      <name val="Arial"/>
      <family val="2"/>
    </font>
    <font>
      <sz val="10"/>
      <name val="Arial"/>
      <family val="2"/>
    </font>
    <font>
      <sz val="10"/>
      <color rgb="FFFF0000"/>
      <name val="Arial CE"/>
      <charset val="238"/>
    </font>
    <font>
      <b/>
      <sz val="11"/>
      <name val="Arial"/>
      <family val="2"/>
    </font>
    <font>
      <b/>
      <sz val="11"/>
      <name val="Arial CE"/>
      <charset val="238"/>
    </font>
    <font>
      <b/>
      <sz val="10"/>
      <color theme="1"/>
      <name val="Arial CE"/>
      <charset val="238"/>
    </font>
    <font>
      <sz val="10"/>
      <color theme="1"/>
      <name val="Arial CE"/>
      <charset val="238"/>
    </font>
    <font>
      <b/>
      <i/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name val="Arial CE"/>
      <charset val="238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theme="1"/>
      <name val="Arial"/>
      <family val="2"/>
      <charset val="238"/>
    </font>
    <font>
      <i/>
      <sz val="10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 CE"/>
      <charset val="238"/>
    </font>
    <font>
      <i/>
      <sz val="10"/>
      <name val="Arial CE"/>
      <charset val="238"/>
    </font>
    <font>
      <i/>
      <sz val="11"/>
      <color indexed="8"/>
      <name val="Arial"/>
      <family val="2"/>
      <charset val="238"/>
    </font>
    <font>
      <sz val="14"/>
      <name val="Arial CE"/>
      <charset val="238"/>
    </font>
    <font>
      <i/>
      <sz val="8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9"/>
      <name val="Arial CE"/>
      <charset val="238"/>
    </font>
    <font>
      <b/>
      <sz val="8"/>
      <name val="Arial"/>
      <family val="2"/>
      <charset val="238"/>
    </font>
    <font>
      <b/>
      <sz val="8"/>
      <name val="Czcionka tekstu podstawowego"/>
      <charset val="238"/>
    </font>
    <font>
      <b/>
      <sz val="8"/>
      <name val="Arial CE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rgb="FFFF0000"/>
      <name val="Arial CE"/>
      <charset val="238"/>
    </font>
    <font>
      <b/>
      <sz val="11"/>
      <color rgb="FFFF0000"/>
      <name val="Arial CE"/>
      <charset val="238"/>
    </font>
    <font>
      <b/>
      <sz val="10"/>
      <color rgb="FFFF0000"/>
      <name val="Arial CE"/>
      <charset val="238"/>
    </font>
    <font>
      <i/>
      <sz val="10"/>
      <color rgb="FFFF0000"/>
      <name val="Arial CE"/>
      <charset val="238"/>
    </font>
    <font>
      <sz val="9"/>
      <color rgb="FFFF0000"/>
      <name val="Arial"/>
      <family val="2"/>
      <charset val="238"/>
    </font>
    <font>
      <i/>
      <sz val="12"/>
      <color rgb="FFFF0000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rgb="FFFFFF66"/>
        <bgColor indexed="0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0"/>
      </patternFill>
    </fill>
    <fill>
      <patternFill patternType="solid">
        <fgColor rgb="FF99FF33"/>
        <bgColor indexed="64"/>
      </patternFill>
    </fill>
    <fill>
      <patternFill patternType="solid">
        <fgColor indexed="10"/>
        <bgColor indexed="0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14999847407452621"/>
        <bgColor indexed="0"/>
      </patternFill>
    </fill>
    <fill>
      <patternFill patternType="solid">
        <fgColor rgb="FFCCEC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C5DF41"/>
        <bgColor indexed="64"/>
      </patternFill>
    </fill>
    <fill>
      <patternFill patternType="solid">
        <fgColor rgb="FFCCCC00"/>
        <bgColor indexed="64"/>
      </patternFill>
    </fill>
  </fills>
  <borders count="16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5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7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" fillId="0" borderId="0"/>
    <xf numFmtId="0" fontId="10" fillId="0" borderId="0" applyNumberFormat="0" applyFill="0" applyBorder="0" applyAlignment="0" applyProtection="0">
      <alignment vertical="top"/>
    </xf>
    <xf numFmtId="0" fontId="5" fillId="0" borderId="0"/>
    <xf numFmtId="0" fontId="2" fillId="0" borderId="0"/>
    <xf numFmtId="0" fontId="5" fillId="0" borderId="0"/>
    <xf numFmtId="0" fontId="1" fillId="0" borderId="0"/>
    <xf numFmtId="0" fontId="44" fillId="0" borderId="0"/>
  </cellStyleXfs>
  <cellXfs count="1900">
    <xf numFmtId="0" fontId="0" fillId="0" borderId="0" xfId="0"/>
    <xf numFmtId="0" fontId="5" fillId="0" borderId="0" xfId="1"/>
    <xf numFmtId="3" fontId="5" fillId="0" borderId="0" xfId="1" applyNumberFormat="1"/>
    <xf numFmtId="0" fontId="7" fillId="0" borderId="5" xfId="1" applyFont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11" fillId="3" borderId="16" xfId="1" applyFont="1" applyFill="1" applyBorder="1" applyAlignment="1">
      <alignment horizontal="center" vertical="center" wrapText="1"/>
    </xf>
    <xf numFmtId="0" fontId="5" fillId="0" borderId="0" xfId="1" applyBorder="1"/>
    <xf numFmtId="0" fontId="8" fillId="0" borderId="0" xfId="1" applyFont="1" applyBorder="1" applyAlignment="1">
      <alignment horizontal="right" vertical="center" wrapText="1"/>
    </xf>
    <xf numFmtId="0" fontId="19" fillId="0" borderId="0" xfId="1" applyFont="1" applyBorder="1" applyAlignment="1">
      <alignment horizontal="center" vertical="center" wrapText="1"/>
    </xf>
    <xf numFmtId="0" fontId="20" fillId="0" borderId="0" xfId="1" applyFont="1" applyAlignment="1">
      <alignment horizontal="center" vertical="center"/>
    </xf>
    <xf numFmtId="4" fontId="5" fillId="0" borderId="0" xfId="1" applyNumberFormat="1"/>
    <xf numFmtId="3" fontId="17" fillId="2" borderId="7" xfId="1" applyNumberFormat="1" applyFont="1" applyFill="1" applyBorder="1" applyAlignment="1">
      <alignment vertical="center"/>
    </xf>
    <xf numFmtId="3" fontId="11" fillId="4" borderId="7" xfId="1" applyNumberFormat="1" applyFont="1" applyFill="1" applyBorder="1" applyAlignment="1">
      <alignment vertical="center"/>
    </xf>
    <xf numFmtId="0" fontId="11" fillId="4" borderId="12" xfId="1" applyFont="1" applyFill="1" applyBorder="1" applyAlignment="1">
      <alignment horizontal="center" vertical="center"/>
    </xf>
    <xf numFmtId="3" fontId="7" fillId="0" borderId="20" xfId="1" applyNumberFormat="1" applyFont="1" applyFill="1" applyBorder="1" applyAlignment="1">
      <alignment vertical="center"/>
    </xf>
    <xf numFmtId="0" fontId="12" fillId="0" borderId="10" xfId="1" applyFont="1" applyFill="1" applyBorder="1" applyAlignment="1">
      <alignment horizontal="center" vertical="center"/>
    </xf>
    <xf numFmtId="3" fontId="7" fillId="0" borderId="18" xfId="1" applyNumberFormat="1" applyFont="1" applyFill="1" applyBorder="1" applyAlignment="1">
      <alignment vertical="center"/>
    </xf>
    <xf numFmtId="0" fontId="7" fillId="0" borderId="43" xfId="1" applyFont="1" applyFill="1" applyBorder="1" applyAlignment="1">
      <alignment horizontal="left" vertical="center"/>
    </xf>
    <xf numFmtId="0" fontId="12" fillId="0" borderId="18" xfId="1" applyFont="1" applyFill="1" applyBorder="1" applyAlignment="1">
      <alignment horizontal="center" vertical="center"/>
    </xf>
    <xf numFmtId="3" fontId="7" fillId="0" borderId="11" xfId="1" applyNumberFormat="1" applyFont="1" applyFill="1" applyBorder="1" applyAlignment="1">
      <alignment vertical="center"/>
    </xf>
    <xf numFmtId="0" fontId="7" fillId="0" borderId="5" xfId="1" applyFont="1" applyFill="1" applyBorder="1" applyAlignment="1">
      <alignment horizontal="left" vertical="center"/>
    </xf>
    <xf numFmtId="0" fontId="12" fillId="0" borderId="11" xfId="1" applyFont="1" applyFill="1" applyBorder="1" applyAlignment="1">
      <alignment horizontal="center" vertical="center"/>
    </xf>
    <xf numFmtId="3" fontId="11" fillId="3" borderId="7" xfId="1" applyNumberFormat="1" applyFont="1" applyFill="1" applyBorder="1" applyAlignment="1">
      <alignment horizontal="center" vertical="center" wrapText="1"/>
    </xf>
    <xf numFmtId="0" fontId="11" fillId="3" borderId="7" xfId="1" applyFont="1" applyFill="1" applyBorder="1" applyAlignment="1">
      <alignment horizontal="center" vertical="center"/>
    </xf>
    <xf numFmtId="0" fontId="11" fillId="3" borderId="16" xfId="1" applyFont="1" applyFill="1" applyBorder="1" applyAlignment="1">
      <alignment horizontal="center" vertical="center"/>
    </xf>
    <xf numFmtId="0" fontId="21" fillId="0" borderId="0" xfId="1" applyFont="1"/>
    <xf numFmtId="3" fontId="17" fillId="2" borderId="26" xfId="1" applyNumberFormat="1" applyFont="1" applyFill="1" applyBorder="1" applyAlignment="1">
      <alignment horizontal="right" vertical="center"/>
    </xf>
    <xf numFmtId="0" fontId="17" fillId="2" borderId="7" xfId="1" applyFont="1" applyFill="1" applyBorder="1" applyAlignment="1">
      <alignment horizontal="center" vertical="center"/>
    </xf>
    <xf numFmtId="3" fontId="11" fillId="3" borderId="7" xfId="1" applyNumberFormat="1" applyFont="1" applyFill="1" applyBorder="1" applyAlignment="1">
      <alignment vertical="center"/>
    </xf>
    <xf numFmtId="0" fontId="11" fillId="3" borderId="24" xfId="1" applyFont="1" applyFill="1" applyBorder="1" applyAlignment="1">
      <alignment horizontal="center" vertical="center"/>
    </xf>
    <xf numFmtId="3" fontId="7" fillId="0" borderId="24" xfId="1" applyNumberFormat="1" applyFont="1" applyFill="1" applyBorder="1" applyAlignment="1">
      <alignment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12" fillId="0" borderId="2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/>
    </xf>
    <xf numFmtId="0" fontId="7" fillId="0" borderId="18" xfId="1" applyFont="1" applyFill="1" applyBorder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3" fontId="7" fillId="0" borderId="29" xfId="4" applyNumberFormat="1" applyFont="1" applyFill="1" applyBorder="1" applyAlignment="1">
      <alignment vertical="center"/>
    </xf>
    <xf numFmtId="0" fontId="7" fillId="0" borderId="43" xfId="1" applyFont="1" applyBorder="1" applyAlignment="1">
      <alignment vertical="center" wrapText="1"/>
    </xf>
    <xf numFmtId="3" fontId="7" fillId="0" borderId="27" xfId="4" applyNumberFormat="1" applyFont="1" applyFill="1" applyBorder="1" applyAlignment="1">
      <alignment vertical="center"/>
    </xf>
    <xf numFmtId="3" fontId="7" fillId="0" borderId="27" xfId="4" applyNumberFormat="1" applyFont="1" applyBorder="1" applyAlignment="1">
      <alignment vertical="center"/>
    </xf>
    <xf numFmtId="3" fontId="7" fillId="0" borderId="28" xfId="4" applyNumberFormat="1" applyFont="1" applyBorder="1" applyAlignment="1">
      <alignment vertical="center"/>
    </xf>
    <xf numFmtId="0" fontId="12" fillId="0" borderId="1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vertical="center" wrapText="1"/>
    </xf>
    <xf numFmtId="0" fontId="12" fillId="0" borderId="10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12" fillId="0" borderId="22" xfId="1" applyFont="1" applyBorder="1" applyAlignment="1">
      <alignment horizontal="center" vertical="center"/>
    </xf>
    <xf numFmtId="0" fontId="12" fillId="4" borderId="16" xfId="1" applyFont="1" applyFill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3" fontId="11" fillId="2" borderId="7" xfId="1" applyNumberFormat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/>
    </xf>
    <xf numFmtId="0" fontId="7" fillId="0" borderId="0" xfId="1" applyFont="1"/>
    <xf numFmtId="3" fontId="11" fillId="3" borderId="45" xfId="1" applyNumberFormat="1" applyFont="1" applyFill="1" applyBorder="1" applyAlignment="1">
      <alignment horizontal="right" vertical="center"/>
    </xf>
    <xf numFmtId="3" fontId="11" fillId="3" borderId="31" xfId="1" applyNumberFormat="1" applyFont="1" applyFill="1" applyBorder="1" applyAlignment="1">
      <alignment horizontal="right" vertical="center"/>
    </xf>
    <xf numFmtId="3" fontId="11" fillId="3" borderId="7" xfId="1" applyNumberFormat="1" applyFont="1" applyFill="1" applyBorder="1" applyAlignment="1">
      <alignment horizontal="right" vertical="center"/>
    </xf>
    <xf numFmtId="0" fontId="23" fillId="3" borderId="7" xfId="1" applyFont="1" applyFill="1" applyBorder="1" applyAlignment="1">
      <alignment vertical="center"/>
    </xf>
    <xf numFmtId="49" fontId="11" fillId="3" borderId="7" xfId="1" applyNumberFormat="1" applyFont="1" applyFill="1" applyBorder="1" applyAlignment="1">
      <alignment horizontal="center" vertical="center"/>
    </xf>
    <xf numFmtId="0" fontId="11" fillId="3" borderId="7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21" fillId="0" borderId="7" xfId="1" applyFont="1" applyFill="1" applyBorder="1" applyAlignment="1">
      <alignment horizontal="left" vertical="center" wrapText="1"/>
    </xf>
    <xf numFmtId="3" fontId="21" fillId="0" borderId="7" xfId="1" applyNumberFormat="1" applyFont="1" applyFill="1" applyBorder="1" applyAlignment="1">
      <alignment horizontal="right" vertical="center"/>
    </xf>
    <xf numFmtId="49" fontId="21" fillId="0" borderId="7" xfId="1" applyNumberFormat="1" applyFont="1" applyFill="1" applyBorder="1" applyAlignment="1">
      <alignment horizontal="center" vertical="center"/>
    </xf>
    <xf numFmtId="49" fontId="11" fillId="0" borderId="7" xfId="1" applyNumberFormat="1" applyFont="1" applyFill="1" applyBorder="1" applyAlignment="1">
      <alignment horizontal="center" vertical="center"/>
    </xf>
    <xf numFmtId="0" fontId="23" fillId="2" borderId="7" xfId="1" applyFont="1" applyFill="1" applyBorder="1" applyAlignment="1">
      <alignment horizontal="center" vertical="center" wrapText="1"/>
    </xf>
    <xf numFmtId="3" fontId="17" fillId="2" borderId="7" xfId="1" applyNumberFormat="1" applyFont="1" applyFill="1" applyBorder="1" applyAlignment="1">
      <alignment horizontal="right" vertical="center"/>
    </xf>
    <xf numFmtId="0" fontId="21" fillId="0" borderId="21" xfId="1" applyFont="1" applyBorder="1" applyAlignment="1">
      <alignment horizontal="left" vertical="center" wrapText="1"/>
    </xf>
    <xf numFmtId="3" fontId="21" fillId="0" borderId="21" xfId="1" applyNumberFormat="1" applyFont="1" applyBorder="1" applyAlignment="1">
      <alignment horizontal="center" vertical="center" wrapText="1"/>
    </xf>
    <xf numFmtId="3" fontId="24" fillId="0" borderId="21" xfId="1" applyNumberFormat="1" applyFont="1" applyBorder="1" applyAlignment="1">
      <alignment horizontal="right" vertical="center"/>
    </xf>
    <xf numFmtId="3" fontId="24" fillId="0" borderId="0" xfId="1" applyNumberFormat="1" applyFont="1" applyBorder="1" applyAlignment="1">
      <alignment horizontal="right" vertical="center"/>
    </xf>
    <xf numFmtId="0" fontId="21" fillId="0" borderId="21" xfId="1" applyNumberFormat="1" applyFont="1" applyBorder="1" applyAlignment="1">
      <alignment horizontal="center" vertical="center"/>
    </xf>
    <xf numFmtId="49" fontId="24" fillId="0" borderId="41" xfId="1" applyNumberFormat="1" applyFont="1" applyBorder="1" applyAlignment="1">
      <alignment horizontal="center" vertical="center" wrapText="1"/>
    </xf>
    <xf numFmtId="49" fontId="24" fillId="0" borderId="1" xfId="1" applyNumberFormat="1" applyFont="1" applyBorder="1" applyAlignment="1">
      <alignment horizontal="center" vertical="center"/>
    </xf>
    <xf numFmtId="0" fontId="7" fillId="5" borderId="7" xfId="1" applyFont="1" applyFill="1" applyBorder="1"/>
    <xf numFmtId="3" fontId="9" fillId="5" borderId="7" xfId="1" applyNumberFormat="1" applyFont="1" applyFill="1" applyBorder="1" applyAlignment="1">
      <alignment horizontal="right" vertical="center"/>
    </xf>
    <xf numFmtId="3" fontId="11" fillId="5" borderId="7" xfId="1" applyNumberFormat="1" applyFont="1" applyFill="1" applyBorder="1" applyAlignment="1">
      <alignment horizontal="right" vertical="center"/>
    </xf>
    <xf numFmtId="3" fontId="11" fillId="5" borderId="16" xfId="1" applyNumberFormat="1" applyFont="1" applyFill="1" applyBorder="1" applyAlignment="1">
      <alignment horizontal="right" vertical="center"/>
    </xf>
    <xf numFmtId="0" fontId="12" fillId="0" borderId="0" xfId="1" applyFont="1" applyAlignment="1">
      <alignment horizontal="center" vertical="center" wrapText="1"/>
    </xf>
    <xf numFmtId="0" fontId="16" fillId="0" borderId="0" xfId="1" applyFont="1" applyAlignment="1">
      <alignment wrapText="1"/>
    </xf>
    <xf numFmtId="0" fontId="23" fillId="2" borderId="15" xfId="1" applyFont="1" applyFill="1" applyBorder="1" applyAlignment="1">
      <alignment horizontal="center" vertical="center" wrapText="1"/>
    </xf>
    <xf numFmtId="3" fontId="11" fillId="2" borderId="12" xfId="1" applyNumberFormat="1" applyFont="1" applyFill="1" applyBorder="1" applyAlignment="1">
      <alignment horizontal="right" vertical="center"/>
    </xf>
    <xf numFmtId="3" fontId="11" fillId="2" borderId="7" xfId="1" applyNumberFormat="1" applyFont="1" applyFill="1" applyBorder="1" applyAlignment="1">
      <alignment horizontal="right" vertical="center"/>
    </xf>
    <xf numFmtId="49" fontId="11" fillId="2" borderId="7" xfId="1" applyNumberFormat="1" applyFont="1" applyFill="1" applyBorder="1" applyAlignment="1">
      <alignment horizontal="center" vertical="center"/>
    </xf>
    <xf numFmtId="0" fontId="21" fillId="0" borderId="7" xfId="1" applyFont="1" applyBorder="1" applyAlignment="1">
      <alignment horizontal="left" vertical="center" wrapText="1"/>
    </xf>
    <xf numFmtId="3" fontId="21" fillId="0" borderId="41" xfId="1" applyNumberFormat="1" applyFont="1" applyBorder="1" applyAlignment="1">
      <alignment horizontal="right" vertical="center"/>
    </xf>
    <xf numFmtId="3" fontId="21" fillId="0" borderId="1" xfId="1" applyNumberFormat="1" applyFont="1" applyBorder="1" applyAlignment="1">
      <alignment horizontal="right" vertical="center"/>
    </xf>
    <xf numFmtId="3" fontId="11" fillId="0" borderId="17" xfId="1" applyNumberFormat="1" applyFont="1" applyBorder="1" applyAlignment="1">
      <alignment horizontal="right" vertical="center"/>
    </xf>
    <xf numFmtId="49" fontId="21" fillId="0" borderId="21" xfId="1" applyNumberFormat="1" applyFont="1" applyBorder="1" applyAlignment="1">
      <alignment horizontal="center" vertical="center" wrapText="1"/>
    </xf>
    <xf numFmtId="49" fontId="21" fillId="0" borderId="0" xfId="1" applyNumberFormat="1" applyFont="1" applyBorder="1" applyAlignment="1">
      <alignment horizontal="center" vertical="center" wrapText="1"/>
    </xf>
    <xf numFmtId="49" fontId="21" fillId="0" borderId="7" xfId="1" applyNumberFormat="1" applyFont="1" applyBorder="1" applyAlignment="1">
      <alignment horizontal="center" vertical="center"/>
    </xf>
    <xf numFmtId="0" fontId="21" fillId="4" borderId="15" xfId="1" applyFont="1" applyFill="1" applyBorder="1"/>
    <xf numFmtId="3" fontId="22" fillId="4" borderId="7" xfId="1" applyNumberFormat="1" applyFont="1" applyFill="1" applyBorder="1" applyAlignment="1">
      <alignment horizontal="right" vertical="center"/>
    </xf>
    <xf numFmtId="3" fontId="11" fillId="4" borderId="45" xfId="1" applyNumberFormat="1" applyFont="1" applyFill="1" applyBorder="1" applyAlignment="1">
      <alignment horizontal="right" vertical="center"/>
    </xf>
    <xf numFmtId="3" fontId="11" fillId="4" borderId="31" xfId="1" applyNumberFormat="1" applyFont="1" applyFill="1" applyBorder="1" applyAlignment="1">
      <alignment horizontal="right" vertical="center"/>
    </xf>
    <xf numFmtId="3" fontId="11" fillId="4" borderId="7" xfId="1" applyNumberFormat="1" applyFont="1" applyFill="1" applyBorder="1" applyAlignment="1">
      <alignment horizontal="right" vertical="center"/>
    </xf>
    <xf numFmtId="3" fontId="11" fillId="3" borderId="32" xfId="1" applyNumberFormat="1" applyFont="1" applyFill="1" applyBorder="1" applyAlignment="1">
      <alignment horizontal="right" vertical="center"/>
    </xf>
    <xf numFmtId="3" fontId="21" fillId="0" borderId="20" xfId="1" applyNumberFormat="1" applyFont="1" applyBorder="1" applyAlignment="1">
      <alignment horizontal="right" vertical="center"/>
    </xf>
    <xf numFmtId="3" fontId="21" fillId="0" borderId="42" xfId="1" applyNumberFormat="1" applyFont="1" applyBorder="1" applyAlignment="1">
      <alignment horizontal="right" vertical="center"/>
    </xf>
    <xf numFmtId="3" fontId="21" fillId="0" borderId="35" xfId="1" applyNumberFormat="1" applyFont="1" applyBorder="1" applyAlignment="1">
      <alignment horizontal="right" vertical="center"/>
    </xf>
    <xf numFmtId="3" fontId="21" fillId="0" borderId="4" xfId="1" applyNumberFormat="1" applyFont="1" applyBorder="1" applyAlignment="1">
      <alignment horizontal="right" vertical="center"/>
    </xf>
    <xf numFmtId="0" fontId="21" fillId="0" borderId="42" xfId="1" applyFont="1" applyBorder="1" applyAlignment="1">
      <alignment horizontal="center" vertical="center" wrapText="1"/>
    </xf>
    <xf numFmtId="49" fontId="21" fillId="0" borderId="4" xfId="1" applyNumberFormat="1" applyFont="1" applyBorder="1" applyAlignment="1">
      <alignment horizontal="center" vertical="center"/>
    </xf>
    <xf numFmtId="3" fontId="11" fillId="0" borderId="18" xfId="1" applyNumberFormat="1" applyFont="1" applyBorder="1" applyAlignment="1">
      <alignment horizontal="right" vertical="center"/>
    </xf>
    <xf numFmtId="3" fontId="11" fillId="0" borderId="40" xfId="1" applyNumberFormat="1" applyFont="1" applyBorder="1" applyAlignment="1">
      <alignment horizontal="right" vertical="center"/>
    </xf>
    <xf numFmtId="3" fontId="11" fillId="0" borderId="33" xfId="1" applyNumberFormat="1" applyFont="1" applyBorder="1" applyAlignment="1">
      <alignment horizontal="right" vertical="center"/>
    </xf>
    <xf numFmtId="3" fontId="11" fillId="0" borderId="39" xfId="1" applyNumberFormat="1" applyFont="1" applyBorder="1" applyAlignment="1">
      <alignment horizontal="right" vertical="center"/>
    </xf>
    <xf numFmtId="3" fontId="11" fillId="0" borderId="22" xfId="1" applyNumberFormat="1" applyFont="1" applyBorder="1" applyAlignment="1">
      <alignment horizontal="right" vertical="center"/>
    </xf>
    <xf numFmtId="0" fontId="11" fillId="3" borderId="40" xfId="1" applyFont="1" applyFill="1" applyBorder="1" applyAlignment="1">
      <alignment horizontal="center" vertical="center" wrapText="1"/>
    </xf>
    <xf numFmtId="0" fontId="11" fillId="3" borderId="33" xfId="1" applyFont="1" applyFill="1" applyBorder="1" applyAlignment="1">
      <alignment horizontal="center" vertical="center" wrapText="1"/>
    </xf>
    <xf numFmtId="0" fontId="11" fillId="3" borderId="39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3" fillId="0" borderId="0" xfId="1" applyFont="1" applyBorder="1" applyAlignment="1">
      <alignment horizontal="center" vertical="center"/>
    </xf>
    <xf numFmtId="0" fontId="23" fillId="0" borderId="0" xfId="1" applyFont="1" applyBorder="1" applyAlignment="1">
      <alignment horizontal="center" vertical="top"/>
    </xf>
    <xf numFmtId="0" fontId="25" fillId="0" borderId="0" xfId="1" applyFont="1" applyAlignment="1">
      <alignment vertical="center"/>
    </xf>
    <xf numFmtId="3" fontId="25" fillId="0" borderId="0" xfId="1" applyNumberFormat="1" applyFont="1" applyBorder="1" applyAlignment="1">
      <alignment horizontal="right" vertical="center"/>
    </xf>
    <xf numFmtId="0" fontId="25" fillId="0" borderId="0" xfId="1" applyFont="1" applyFill="1" applyBorder="1" applyAlignment="1">
      <alignment horizontal="center" vertical="center"/>
    </xf>
    <xf numFmtId="0" fontId="25" fillId="0" borderId="0" xfId="1" applyFont="1" applyBorder="1" applyAlignment="1">
      <alignment horizontal="center" vertical="center"/>
    </xf>
    <xf numFmtId="49" fontId="26" fillId="0" borderId="0" xfId="1" applyNumberFormat="1" applyFont="1" applyBorder="1" applyAlignment="1">
      <alignment horizontal="center" vertical="top"/>
    </xf>
    <xf numFmtId="49" fontId="25" fillId="0" borderId="0" xfId="1" applyNumberFormat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1" fillId="0" borderId="18" xfId="1" applyFont="1" applyBorder="1" applyAlignment="1">
      <alignment horizontal="center" vertical="center"/>
    </xf>
    <xf numFmtId="0" fontId="8" fillId="0" borderId="0" xfId="1" applyFont="1" applyAlignment="1">
      <alignment horizontal="right" wrapText="1"/>
    </xf>
    <xf numFmtId="0" fontId="7" fillId="0" borderId="0" xfId="1" applyFont="1" applyAlignment="1">
      <alignment horizontal="center" vertical="center"/>
    </xf>
    <xf numFmtId="0" fontId="6" fillId="0" borderId="0" xfId="2"/>
    <xf numFmtId="3" fontId="20" fillId="0" borderId="0" xfId="2" applyNumberFormat="1" applyFont="1" applyBorder="1"/>
    <xf numFmtId="0" fontId="20" fillId="0" borderId="0" xfId="11" applyFont="1" applyBorder="1" applyAlignment="1">
      <alignment wrapText="1"/>
    </xf>
    <xf numFmtId="0" fontId="20" fillId="0" borderId="0" xfId="2" applyFont="1" applyBorder="1" applyAlignment="1">
      <alignment horizontal="center"/>
    </xf>
    <xf numFmtId="3" fontId="29" fillId="0" borderId="0" xfId="2" applyNumberFormat="1" applyFont="1" applyBorder="1"/>
    <xf numFmtId="0" fontId="30" fillId="0" borderId="0" xfId="2" applyFont="1" applyBorder="1" applyAlignment="1">
      <alignment horizontal="center"/>
    </xf>
    <xf numFmtId="3" fontId="6" fillId="0" borderId="0" xfId="2" applyNumberFormat="1"/>
    <xf numFmtId="3" fontId="11" fillId="2" borderId="7" xfId="2" applyNumberFormat="1" applyFont="1" applyFill="1" applyBorder="1" applyAlignment="1">
      <alignment vertical="center"/>
    </xf>
    <xf numFmtId="0" fontId="7" fillId="0" borderId="5" xfId="11" applyFont="1" applyBorder="1"/>
    <xf numFmtId="0" fontId="7" fillId="0" borderId="3" xfId="11" applyFont="1" applyBorder="1"/>
    <xf numFmtId="0" fontId="7" fillId="0" borderId="43" xfId="11" applyFont="1" applyBorder="1"/>
    <xf numFmtId="0" fontId="31" fillId="0" borderId="0" xfId="2" applyFont="1"/>
    <xf numFmtId="3" fontId="31" fillId="0" borderId="0" xfId="2" applyNumberFormat="1" applyFont="1"/>
    <xf numFmtId="0" fontId="7" fillId="0" borderId="0" xfId="2" applyFont="1" applyBorder="1"/>
    <xf numFmtId="0" fontId="7" fillId="0" borderId="7" xfId="2" applyFont="1" applyFill="1" applyBorder="1" applyAlignment="1">
      <alignment horizontal="center"/>
    </xf>
    <xf numFmtId="0" fontId="7" fillId="0" borderId="3" xfId="11" applyFont="1" applyBorder="1" applyAlignment="1">
      <alignment wrapText="1"/>
    </xf>
    <xf numFmtId="3" fontId="6" fillId="0" borderId="0" xfId="2" applyNumberFormat="1" applyFont="1"/>
    <xf numFmtId="0" fontId="7" fillId="0" borderId="0" xfId="11" applyFont="1" applyFill="1" applyBorder="1" applyAlignment="1">
      <alignment wrapText="1"/>
    </xf>
    <xf numFmtId="3" fontId="12" fillId="4" borderId="15" xfId="2" applyNumberFormat="1" applyFont="1" applyFill="1" applyBorder="1" applyAlignment="1">
      <alignment horizontal="right"/>
    </xf>
    <xf numFmtId="3" fontId="12" fillId="4" borderId="7" xfId="2" applyNumberFormat="1" applyFont="1" applyFill="1" applyBorder="1" applyAlignment="1">
      <alignment horizontal="right"/>
    </xf>
    <xf numFmtId="0" fontId="11" fillId="2" borderId="15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12" xfId="2" applyFont="1" applyFill="1" applyBorder="1" applyAlignment="1">
      <alignment horizontal="center" vertical="center"/>
    </xf>
    <xf numFmtId="0" fontId="7" fillId="0" borderId="0" xfId="2" applyFont="1"/>
    <xf numFmtId="0" fontId="7" fillId="0" borderId="22" xfId="1" applyFont="1" applyBorder="1" applyAlignment="1">
      <alignment horizontal="center" vertical="center"/>
    </xf>
    <xf numFmtId="0" fontId="11" fillId="3" borderId="7" xfId="1" applyFont="1" applyFill="1" applyBorder="1" applyAlignment="1">
      <alignment horizontal="center" vertical="center"/>
    </xf>
    <xf numFmtId="0" fontId="7" fillId="0" borderId="5" xfId="11" applyFont="1" applyBorder="1" applyAlignment="1">
      <alignment wrapText="1"/>
    </xf>
    <xf numFmtId="0" fontId="7" fillId="0" borderId="5" xfId="11" applyFont="1" applyBorder="1" applyAlignment="1">
      <alignment vertical="center" wrapText="1"/>
    </xf>
    <xf numFmtId="0" fontId="7" fillId="0" borderId="43" xfId="11" applyFont="1" applyBorder="1" applyAlignment="1">
      <alignment vertical="center" wrapText="1"/>
    </xf>
    <xf numFmtId="0" fontId="7" fillId="0" borderId="3" xfId="11" applyFont="1" applyBorder="1" applyAlignment="1">
      <alignment vertical="center" wrapText="1"/>
    </xf>
    <xf numFmtId="3" fontId="7" fillId="0" borderId="21" xfId="2" applyNumberFormat="1" applyFont="1" applyBorder="1" applyAlignment="1">
      <alignment vertical="center"/>
    </xf>
    <xf numFmtId="3" fontId="7" fillId="0" borderId="8" xfId="2" applyNumberFormat="1" applyFont="1" applyBorder="1" applyAlignment="1">
      <alignment vertical="center"/>
    </xf>
    <xf numFmtId="3" fontId="7" fillId="0" borderId="20" xfId="2" applyNumberFormat="1" applyFont="1" applyBorder="1" applyAlignment="1">
      <alignment vertical="center"/>
    </xf>
    <xf numFmtId="3" fontId="7" fillId="0" borderId="29" xfId="2" applyNumberFormat="1" applyFont="1" applyBorder="1" applyAlignment="1">
      <alignment vertical="center"/>
    </xf>
    <xf numFmtId="3" fontId="12" fillId="4" borderId="7" xfId="2" applyNumberFormat="1" applyFont="1" applyFill="1" applyBorder="1" applyAlignment="1">
      <alignment vertical="center"/>
    </xf>
    <xf numFmtId="3" fontId="12" fillId="4" borderId="15" xfId="2" applyNumberFormat="1" applyFont="1" applyFill="1" applyBorder="1" applyAlignment="1">
      <alignment vertical="center"/>
    </xf>
    <xf numFmtId="3" fontId="7" fillId="0" borderId="22" xfId="2" applyNumberFormat="1" applyFont="1" applyBorder="1" applyAlignment="1">
      <alignment vertical="center"/>
    </xf>
    <xf numFmtId="3" fontId="7" fillId="0" borderId="28" xfId="2" applyNumberFormat="1" applyFont="1" applyBorder="1" applyAlignment="1">
      <alignment vertical="center"/>
    </xf>
    <xf numFmtId="3" fontId="7" fillId="0" borderId="18" xfId="2" applyNumberFormat="1" applyFont="1" applyBorder="1" applyAlignment="1">
      <alignment vertical="center"/>
    </xf>
    <xf numFmtId="3" fontId="7" fillId="0" borderId="27" xfId="2" applyNumberFormat="1" applyFont="1" applyBorder="1" applyAlignment="1">
      <alignment vertical="center"/>
    </xf>
    <xf numFmtId="0" fontId="12" fillId="0" borderId="50" xfId="1" applyFont="1" applyFill="1" applyBorder="1" applyAlignment="1">
      <alignment horizontal="center" vertical="center"/>
    </xf>
    <xf numFmtId="3" fontId="7" fillId="0" borderId="50" xfId="1" applyNumberFormat="1" applyFont="1" applyFill="1" applyBorder="1" applyAlignment="1">
      <alignment vertical="center"/>
    </xf>
    <xf numFmtId="0" fontId="7" fillId="0" borderId="49" xfId="1" applyFont="1" applyFill="1" applyBorder="1" applyAlignment="1">
      <alignment horizontal="left" vertical="center"/>
    </xf>
    <xf numFmtId="0" fontId="7" fillId="0" borderId="24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8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5" fillId="0" borderId="0" xfId="1" applyFont="1"/>
    <xf numFmtId="0" fontId="11" fillId="4" borderId="7" xfId="1" applyFont="1" applyFill="1" applyBorder="1" applyAlignment="1">
      <alignment horizontal="center" vertical="center"/>
    </xf>
    <xf numFmtId="3" fontId="11" fillId="4" borderId="15" xfId="4" applyNumberFormat="1" applyFont="1" applyFill="1" applyBorder="1" applyAlignment="1">
      <alignment vertical="center"/>
    </xf>
    <xf numFmtId="0" fontId="32" fillId="0" borderId="0" xfId="1" applyFont="1"/>
    <xf numFmtId="0" fontId="12" fillId="0" borderId="51" xfId="1" applyFont="1" applyFill="1" applyBorder="1" applyAlignment="1">
      <alignment horizontal="center" vertical="center"/>
    </xf>
    <xf numFmtId="3" fontId="7" fillId="0" borderId="51" xfId="1" applyNumberFormat="1" applyFont="1" applyFill="1" applyBorder="1" applyAlignment="1">
      <alignment vertical="center"/>
    </xf>
    <xf numFmtId="0" fontId="7" fillId="0" borderId="49" xfId="1" applyFont="1" applyFill="1" applyBorder="1" applyAlignment="1">
      <alignment horizontal="left" vertical="center" wrapText="1"/>
    </xf>
    <xf numFmtId="0" fontId="12" fillId="0" borderId="49" xfId="1" applyFont="1" applyFill="1" applyBorder="1" applyAlignment="1">
      <alignment horizontal="center" vertical="center"/>
    </xf>
    <xf numFmtId="3" fontId="7" fillId="0" borderId="29" xfId="1" applyNumberFormat="1" applyFont="1" applyFill="1" applyBorder="1" applyAlignment="1">
      <alignment vertical="center"/>
    </xf>
    <xf numFmtId="3" fontId="12" fillId="4" borderId="15" xfId="1" applyNumberFormat="1" applyFont="1" applyFill="1" applyBorder="1" applyAlignment="1">
      <alignment vertical="center"/>
    </xf>
    <xf numFmtId="3" fontId="7" fillId="0" borderId="28" xfId="1" applyNumberFormat="1" applyFont="1" applyFill="1" applyBorder="1" applyAlignment="1">
      <alignment vertical="center"/>
    </xf>
    <xf numFmtId="3" fontId="7" fillId="0" borderId="27" xfId="1" applyNumberFormat="1" applyFont="1" applyFill="1" applyBorder="1" applyAlignment="1">
      <alignment vertical="center"/>
    </xf>
    <xf numFmtId="3" fontId="7" fillId="0" borderId="29" xfId="1" applyNumberFormat="1" applyFont="1" applyBorder="1" applyAlignment="1">
      <alignment vertical="center"/>
    </xf>
    <xf numFmtId="49" fontId="24" fillId="0" borderId="0" xfId="1" applyNumberFormat="1" applyFont="1" applyBorder="1" applyAlignment="1">
      <alignment horizontal="center" vertical="center"/>
    </xf>
    <xf numFmtId="0" fontId="21" fillId="0" borderId="7" xfId="1" applyNumberFormat="1" applyFont="1" applyBorder="1" applyAlignment="1">
      <alignment horizontal="center" vertical="center"/>
    </xf>
    <xf numFmtId="3" fontId="24" fillId="0" borderId="7" xfId="1" applyNumberFormat="1" applyFont="1" applyBorder="1" applyAlignment="1">
      <alignment horizontal="right" vertical="center"/>
    </xf>
    <xf numFmtId="3" fontId="24" fillId="0" borderId="16" xfId="1" applyNumberFormat="1" applyFont="1" applyBorder="1" applyAlignment="1">
      <alignment horizontal="right" vertical="center"/>
    </xf>
    <xf numFmtId="3" fontId="21" fillId="0" borderId="7" xfId="1" applyNumberFormat="1" applyFont="1" applyBorder="1" applyAlignment="1">
      <alignment horizontal="center" vertical="center" wrapText="1"/>
    </xf>
    <xf numFmtId="0" fontId="21" fillId="3" borderId="7" xfId="1" applyNumberFormat="1" applyFont="1" applyFill="1" applyBorder="1" applyAlignment="1">
      <alignment horizontal="center" vertical="center"/>
    </xf>
    <xf numFmtId="3" fontId="21" fillId="3" borderId="7" xfId="1" applyNumberFormat="1" applyFont="1" applyFill="1" applyBorder="1" applyAlignment="1">
      <alignment horizontal="center" vertical="center" wrapText="1"/>
    </xf>
    <xf numFmtId="0" fontId="21" fillId="3" borderId="7" xfId="1" applyFont="1" applyFill="1" applyBorder="1" applyAlignment="1">
      <alignment horizontal="left" vertical="center" wrapText="1"/>
    </xf>
    <xf numFmtId="3" fontId="11" fillId="3" borderId="16" xfId="1" applyNumberFormat="1" applyFont="1" applyFill="1" applyBorder="1" applyAlignment="1">
      <alignment horizontal="right" vertical="center"/>
    </xf>
    <xf numFmtId="49" fontId="24" fillId="0" borderId="12" xfId="1" applyNumberFormat="1" applyFont="1" applyBorder="1" applyAlignment="1">
      <alignment horizontal="center" vertical="center"/>
    </xf>
    <xf numFmtId="49" fontId="24" fillId="0" borderId="24" xfId="1" applyNumberFormat="1" applyFont="1" applyBorder="1" applyAlignment="1">
      <alignment horizontal="center" vertical="center" wrapText="1"/>
    </xf>
    <xf numFmtId="49" fontId="24" fillId="0" borderId="7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34" fillId="0" borderId="0" xfId="10" applyNumberFormat="1" applyFont="1" applyFill="1" applyBorder="1" applyAlignment="1" applyProtection="1">
      <alignment vertical="center"/>
      <protection locked="0"/>
    </xf>
    <xf numFmtId="0" fontId="34" fillId="0" borderId="0" xfId="10" applyNumberFormat="1" applyFont="1" applyFill="1" applyBorder="1" applyAlignment="1" applyProtection="1">
      <alignment horizontal="left" vertical="center"/>
      <protection locked="0"/>
    </xf>
    <xf numFmtId="0" fontId="37" fillId="0" borderId="0" xfId="10" applyNumberFormat="1" applyFont="1" applyFill="1" applyBorder="1" applyAlignment="1" applyProtection="1">
      <alignment horizontal="left" vertical="center"/>
      <protection locked="0"/>
    </xf>
    <xf numFmtId="49" fontId="38" fillId="6" borderId="52" xfId="10" applyNumberFormat="1" applyFont="1" applyFill="1" applyBorder="1" applyAlignment="1" applyProtection="1">
      <alignment horizontal="center" vertical="center" wrapText="1"/>
      <protection locked="0"/>
    </xf>
    <xf numFmtId="0" fontId="38" fillId="0" borderId="53" xfId="10" applyNumberFormat="1" applyFont="1" applyFill="1" applyBorder="1" applyAlignment="1" applyProtection="1">
      <alignment horizontal="center" vertical="center" wrapText="1"/>
      <protection locked="0"/>
    </xf>
    <xf numFmtId="3" fontId="38" fillId="2" borderId="53" xfId="10" applyNumberFormat="1" applyFont="1" applyFill="1" applyBorder="1" applyAlignment="1" applyProtection="1">
      <alignment horizontal="right" vertical="center"/>
      <protection locked="0"/>
    </xf>
    <xf numFmtId="3" fontId="39" fillId="9" borderId="53" xfId="10" applyNumberFormat="1" applyFont="1" applyFill="1" applyBorder="1" applyAlignment="1" applyProtection="1">
      <alignment horizontal="right" vertical="center"/>
      <protection locked="0"/>
    </xf>
    <xf numFmtId="3" fontId="38" fillId="0" borderId="53" xfId="10" applyNumberFormat="1" applyFont="1" applyFill="1" applyBorder="1" applyAlignment="1" applyProtection="1">
      <alignment horizontal="right" vertical="center"/>
      <protection locked="0"/>
    </xf>
    <xf numFmtId="3" fontId="34" fillId="0" borderId="53" xfId="10" applyNumberFormat="1" applyFont="1" applyFill="1" applyBorder="1" applyAlignment="1" applyProtection="1">
      <alignment vertical="center"/>
      <protection locked="0"/>
    </xf>
    <xf numFmtId="3" fontId="40" fillId="0" borderId="53" xfId="10" applyNumberFormat="1" applyFont="1" applyFill="1" applyBorder="1" applyAlignment="1" applyProtection="1">
      <alignment horizontal="right" vertical="center"/>
      <protection locked="0"/>
    </xf>
    <xf numFmtId="3" fontId="34" fillId="0" borderId="53" xfId="10" applyNumberFormat="1" applyFont="1" applyFill="1" applyBorder="1" applyAlignment="1" applyProtection="1">
      <alignment horizontal="right" vertical="center"/>
      <protection locked="0"/>
    </xf>
    <xf numFmtId="49" fontId="34" fillId="6" borderId="53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54" xfId="10" applyNumberFormat="1" applyFont="1" applyFill="1" applyBorder="1" applyAlignment="1" applyProtection="1">
      <alignment vertical="center" wrapText="1"/>
      <protection locked="0"/>
    </xf>
    <xf numFmtId="3" fontId="34" fillId="0" borderId="0" xfId="10" applyNumberFormat="1" applyFont="1" applyFill="1" applyBorder="1" applyAlignment="1" applyProtection="1">
      <alignment horizontal="left" vertical="center"/>
      <protection locked="0"/>
    </xf>
    <xf numFmtId="3" fontId="38" fillId="9" borderId="53" xfId="10" applyNumberFormat="1" applyFont="1" applyFill="1" applyBorder="1" applyAlignment="1" applyProtection="1">
      <alignment horizontal="right" vertical="center"/>
      <protection locked="0"/>
    </xf>
    <xf numFmtId="3" fontId="34" fillId="0" borderId="59" xfId="10" applyNumberFormat="1" applyFont="1" applyFill="1" applyBorder="1" applyAlignment="1" applyProtection="1">
      <alignment horizontal="right" vertical="center" wrapText="1"/>
      <protection locked="0"/>
    </xf>
    <xf numFmtId="49" fontId="40" fillId="8" borderId="53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53" xfId="10" applyNumberFormat="1" applyFont="1" applyFill="1" applyBorder="1" applyAlignment="1" applyProtection="1">
      <alignment horizontal="left" vertical="center" wrapText="1"/>
      <protection locked="0"/>
    </xf>
    <xf numFmtId="3" fontId="38" fillId="11" borderId="53" xfId="10" applyNumberFormat="1" applyFont="1" applyFill="1" applyBorder="1" applyAlignment="1" applyProtection="1">
      <alignment horizontal="right" vertical="center"/>
      <protection locked="0"/>
    </xf>
    <xf numFmtId="3" fontId="34" fillId="11" borderId="53" xfId="10" applyNumberFormat="1" applyFont="1" applyFill="1" applyBorder="1" applyAlignment="1" applyProtection="1">
      <alignment horizontal="right" vertical="center"/>
      <protection locked="0"/>
    </xf>
    <xf numFmtId="3" fontId="39" fillId="11" borderId="53" xfId="10" applyNumberFormat="1" applyFont="1" applyFill="1" applyBorder="1" applyAlignment="1" applyProtection="1">
      <alignment horizontal="right" vertical="center"/>
      <protection locked="0"/>
    </xf>
    <xf numFmtId="3" fontId="34" fillId="0" borderId="57" xfId="10" applyNumberFormat="1" applyFont="1" applyFill="1" applyBorder="1" applyAlignment="1" applyProtection="1">
      <alignment horizontal="right" vertical="center"/>
      <protection locked="0"/>
    </xf>
    <xf numFmtId="0" fontId="34" fillId="13" borderId="0" xfId="10" applyNumberFormat="1" applyFont="1" applyFill="1" applyBorder="1" applyAlignment="1" applyProtection="1">
      <alignment horizontal="left" vertical="center"/>
      <protection locked="0"/>
    </xf>
    <xf numFmtId="49" fontId="39" fillId="8" borderId="55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56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56" xfId="10" applyNumberFormat="1" applyFont="1" applyFill="1" applyBorder="1" applyAlignment="1" applyProtection="1">
      <alignment horizontal="left" vertical="center" wrapText="1"/>
      <protection locked="0"/>
    </xf>
    <xf numFmtId="49" fontId="34" fillId="0" borderId="53" xfId="10" applyNumberFormat="1" applyFont="1" applyFill="1" applyBorder="1" applyAlignment="1" applyProtection="1">
      <alignment horizontal="center" vertical="center" wrapText="1"/>
      <protection locked="0"/>
    </xf>
    <xf numFmtId="3" fontId="38" fillId="0" borderId="53" xfId="10" applyNumberFormat="1" applyFont="1" applyFill="1" applyBorder="1" applyAlignment="1" applyProtection="1">
      <alignment vertical="center"/>
      <protection locked="0"/>
    </xf>
    <xf numFmtId="3" fontId="39" fillId="9" borderId="53" xfId="10" applyNumberFormat="1" applyFont="1" applyFill="1" applyBorder="1" applyAlignment="1" applyProtection="1">
      <alignment vertical="center"/>
      <protection locked="0"/>
    </xf>
    <xf numFmtId="3" fontId="39" fillId="0" borderId="53" xfId="10" applyNumberFormat="1" applyFont="1" applyFill="1" applyBorder="1" applyAlignment="1" applyProtection="1">
      <alignment vertical="center"/>
      <protection locked="0"/>
    </xf>
    <xf numFmtId="49" fontId="34" fillId="6" borderId="56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68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54" xfId="10" applyNumberFormat="1" applyFont="1" applyFill="1" applyBorder="1" applyAlignment="1" applyProtection="1">
      <alignment horizontal="left" vertical="center" wrapText="1"/>
      <protection locked="0"/>
    </xf>
    <xf numFmtId="49" fontId="34" fillId="0" borderId="59" xfId="10" applyNumberFormat="1" applyFont="1" applyFill="1" applyBorder="1" applyAlignment="1" applyProtection="1">
      <alignment horizontal="center" vertical="center" wrapText="1"/>
      <protection locked="0"/>
    </xf>
    <xf numFmtId="3" fontId="39" fillId="0" borderId="53" xfId="10" applyNumberFormat="1" applyFont="1" applyFill="1" applyBorder="1" applyAlignment="1" applyProtection="1">
      <alignment horizontal="right" vertical="center"/>
      <protection locked="0"/>
    </xf>
    <xf numFmtId="49" fontId="34" fillId="0" borderId="61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53" xfId="10" applyNumberFormat="1" applyFont="1" applyFill="1" applyBorder="1" applyAlignment="1" applyProtection="1">
      <alignment vertical="center" wrapText="1"/>
      <protection locked="0"/>
    </xf>
    <xf numFmtId="49" fontId="34" fillId="0" borderId="60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63" xfId="10" applyNumberFormat="1" applyFont="1" applyFill="1" applyBorder="1" applyAlignment="1" applyProtection="1">
      <alignment horizontal="left" vertical="center" wrapText="1"/>
      <protection locked="0"/>
    </xf>
    <xf numFmtId="3" fontId="34" fillId="0" borderId="61" xfId="10" applyNumberFormat="1" applyFont="1" applyFill="1" applyBorder="1" applyAlignment="1" applyProtection="1">
      <alignment horizontal="right" vertical="center"/>
      <protection locked="0"/>
    </xf>
    <xf numFmtId="49" fontId="39" fillId="9" borderId="53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63" xfId="10" applyNumberFormat="1" applyFont="1" applyFill="1" applyBorder="1" applyAlignment="1" applyProtection="1">
      <alignment horizontal="left" vertical="center" wrapText="1"/>
      <protection locked="0"/>
    </xf>
    <xf numFmtId="3" fontId="38" fillId="3" borderId="53" xfId="10" applyNumberFormat="1" applyFont="1" applyFill="1" applyBorder="1" applyAlignment="1" applyProtection="1">
      <alignment horizontal="right" vertical="center"/>
      <protection locked="0"/>
    </xf>
    <xf numFmtId="49" fontId="34" fillId="6" borderId="0" xfId="10" applyNumberFormat="1" applyFont="1" applyFill="1" applyBorder="1" applyAlignment="1" applyProtection="1">
      <alignment vertical="center" wrapText="1"/>
      <protection locked="0"/>
    </xf>
    <xf numFmtId="49" fontId="34" fillId="6" borderId="1" xfId="10" applyNumberFormat="1" applyFont="1" applyFill="1" applyBorder="1" applyAlignment="1" applyProtection="1">
      <alignment vertical="center" wrapText="1"/>
      <protection locked="0"/>
    </xf>
    <xf numFmtId="49" fontId="38" fillId="15" borderId="53" xfId="10" applyNumberFormat="1" applyFont="1" applyFill="1" applyBorder="1" applyAlignment="1" applyProtection="1">
      <alignment vertical="top" wrapText="1"/>
      <protection locked="0"/>
    </xf>
    <xf numFmtId="3" fontId="39" fillId="8" borderId="53" xfId="10" applyNumberFormat="1" applyFont="1" applyFill="1" applyBorder="1" applyAlignment="1" applyProtection="1">
      <alignment horizontal="right" vertical="center" wrapText="1"/>
      <protection locked="0"/>
    </xf>
    <xf numFmtId="3" fontId="34" fillId="6" borderId="53" xfId="10" applyNumberFormat="1" applyFont="1" applyFill="1" applyBorder="1" applyAlignment="1" applyProtection="1">
      <alignment horizontal="right" vertical="center" wrapText="1"/>
      <protection locked="0"/>
    </xf>
    <xf numFmtId="3" fontId="34" fillId="0" borderId="0" xfId="10" applyNumberFormat="1" applyFont="1" applyFill="1" applyBorder="1" applyAlignment="1" applyProtection="1">
      <alignment horizontal="right" vertical="center"/>
      <protection locked="0"/>
    </xf>
    <xf numFmtId="49" fontId="43" fillId="6" borderId="0" xfId="10" applyNumberFormat="1" applyFont="1" applyFill="1" applyBorder="1" applyAlignment="1" applyProtection="1">
      <alignment vertical="top" wrapText="1"/>
      <protection locked="0"/>
    </xf>
    <xf numFmtId="3" fontId="43" fillId="6" borderId="0" xfId="10" applyNumberFormat="1" applyFont="1" applyFill="1" applyBorder="1" applyAlignment="1" applyProtection="1">
      <alignment vertical="top" wrapText="1"/>
      <protection locked="0"/>
    </xf>
    <xf numFmtId="0" fontId="16" fillId="0" borderId="0" xfId="1" applyFont="1" applyAlignment="1">
      <alignment vertical="center" wrapText="1"/>
    </xf>
    <xf numFmtId="0" fontId="20" fillId="0" borderId="0" xfId="1" applyFont="1" applyAlignment="1">
      <alignment vertical="center"/>
    </xf>
    <xf numFmtId="3" fontId="20" fillId="0" borderId="0" xfId="1" applyNumberFormat="1" applyFont="1" applyAlignment="1">
      <alignment vertical="center"/>
    </xf>
    <xf numFmtId="0" fontId="20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3" fontId="20" fillId="0" borderId="0" xfId="1" applyNumberFormat="1" applyFont="1" applyAlignment="1">
      <alignment horizontal="center" vertical="center"/>
    </xf>
    <xf numFmtId="0" fontId="12" fillId="4" borderId="46" xfId="1" applyFont="1" applyFill="1" applyBorder="1" applyAlignment="1">
      <alignment horizontal="center" vertical="center"/>
    </xf>
    <xf numFmtId="0" fontId="12" fillId="4" borderId="32" xfId="1" applyFont="1" applyFill="1" applyBorder="1" applyAlignment="1">
      <alignment horizontal="center" vertical="center"/>
    </xf>
    <xf numFmtId="0" fontId="12" fillId="4" borderId="34" xfId="1" applyFont="1" applyFill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3" fontId="12" fillId="0" borderId="78" xfId="1" applyNumberFormat="1" applyFont="1" applyBorder="1" applyAlignment="1">
      <alignment horizontal="right" vertical="center"/>
    </xf>
    <xf numFmtId="3" fontId="8" fillId="0" borderId="80" xfId="1" applyNumberFormat="1" applyFont="1" applyBorder="1" applyAlignment="1">
      <alignment horizontal="right" vertical="center"/>
    </xf>
    <xf numFmtId="0" fontId="7" fillId="0" borderId="53" xfId="1" applyFont="1" applyBorder="1" applyAlignment="1">
      <alignment horizontal="center" vertical="center"/>
    </xf>
    <xf numFmtId="0" fontId="45" fillId="17" borderId="53" xfId="1" applyFont="1" applyFill="1" applyBorder="1" applyAlignment="1">
      <alignment horizontal="center" vertical="center"/>
    </xf>
    <xf numFmtId="3" fontId="7" fillId="0" borderId="80" xfId="1" applyNumberFormat="1" applyFont="1" applyBorder="1" applyAlignment="1">
      <alignment horizontal="right" vertical="center"/>
    </xf>
    <xf numFmtId="0" fontId="47" fillId="17" borderId="53" xfId="1" applyFont="1" applyFill="1" applyBorder="1" applyAlignment="1">
      <alignment horizontal="center" vertical="center"/>
    </xf>
    <xf numFmtId="0" fontId="12" fillId="18" borderId="53" xfId="1" applyFont="1" applyFill="1" applyBorder="1" applyAlignment="1">
      <alignment horizontal="center" vertical="center"/>
    </xf>
    <xf numFmtId="3" fontId="12" fillId="0" borderId="80" xfId="1" applyNumberFormat="1" applyFont="1" applyBorder="1" applyAlignment="1">
      <alignment horizontal="right" vertical="center"/>
    </xf>
    <xf numFmtId="0" fontId="12" fillId="0" borderId="53" xfId="1" applyFont="1" applyBorder="1" applyAlignment="1">
      <alignment horizontal="center" vertical="center"/>
    </xf>
    <xf numFmtId="0" fontId="7" fillId="17" borderId="53" xfId="1" applyFont="1" applyFill="1" applyBorder="1" applyAlignment="1">
      <alignment horizontal="center" vertical="center"/>
    </xf>
    <xf numFmtId="0" fontId="12" fillId="0" borderId="53" xfId="1" applyFont="1" applyFill="1" applyBorder="1" applyAlignment="1">
      <alignment horizontal="center" vertical="center" wrapText="1"/>
    </xf>
    <xf numFmtId="0" fontId="7" fillId="0" borderId="58" xfId="1" applyFont="1" applyBorder="1" applyAlignment="1">
      <alignment horizontal="center" vertical="center"/>
    </xf>
    <xf numFmtId="0" fontId="7" fillId="17" borderId="58" xfId="1" applyFont="1" applyFill="1" applyBorder="1" applyAlignment="1">
      <alignment horizontal="center" vertical="center"/>
    </xf>
    <xf numFmtId="3" fontId="7" fillId="0" borderId="83" xfId="1" applyNumberFormat="1" applyFont="1" applyBorder="1" applyAlignment="1">
      <alignment horizontal="right" vertical="center"/>
    </xf>
    <xf numFmtId="3" fontId="12" fillId="4" borderId="34" xfId="1" applyNumberFormat="1" applyFont="1" applyFill="1" applyBorder="1" applyAlignment="1">
      <alignment horizontal="right" vertical="center"/>
    </xf>
    <xf numFmtId="49" fontId="20" fillId="0" borderId="0" xfId="1" applyNumberFormat="1" applyFont="1" applyAlignment="1">
      <alignment horizontal="center" vertical="center"/>
    </xf>
    <xf numFmtId="3" fontId="20" fillId="0" borderId="0" xfId="1" applyNumberFormat="1" applyFont="1" applyAlignment="1">
      <alignment horizontal="right" vertical="center"/>
    </xf>
    <xf numFmtId="49" fontId="20" fillId="0" borderId="0" xfId="1" applyNumberFormat="1" applyFont="1" applyAlignment="1">
      <alignment vertical="center"/>
    </xf>
    <xf numFmtId="0" fontId="20" fillId="0" borderId="0" xfId="1" applyFont="1" applyAlignment="1">
      <alignment horizontal="right" vertical="center"/>
    </xf>
    <xf numFmtId="0" fontId="48" fillId="0" borderId="0" xfId="1" applyFont="1" applyAlignment="1">
      <alignment vertical="center"/>
    </xf>
    <xf numFmtId="0" fontId="12" fillId="4" borderId="87" xfId="1" applyFont="1" applyFill="1" applyBorder="1" applyAlignment="1">
      <alignment horizontal="center" vertical="center" wrapText="1"/>
    </xf>
    <xf numFmtId="0" fontId="49" fillId="17" borderId="2" xfId="1" applyFont="1" applyFill="1" applyBorder="1" applyAlignment="1">
      <alignment horizontal="center" vertical="center"/>
    </xf>
    <xf numFmtId="3" fontId="12" fillId="17" borderId="2" xfId="1" applyNumberFormat="1" applyFont="1" applyFill="1" applyBorder="1" applyAlignment="1">
      <alignment horizontal="right" vertical="center"/>
    </xf>
    <xf numFmtId="3" fontId="12" fillId="17" borderId="78" xfId="1" applyNumberFormat="1" applyFont="1" applyFill="1" applyBorder="1" applyAlignment="1">
      <alignment horizontal="right" vertical="center"/>
    </xf>
    <xf numFmtId="3" fontId="12" fillId="0" borderId="53" xfId="1" applyNumberFormat="1" applyFont="1" applyFill="1" applyBorder="1" applyAlignment="1">
      <alignment horizontal="right" vertical="center"/>
    </xf>
    <xf numFmtId="3" fontId="49" fillId="0" borderId="53" xfId="1" applyNumberFormat="1" applyFont="1" applyFill="1" applyBorder="1" applyAlignment="1">
      <alignment horizontal="right" vertical="center"/>
    </xf>
    <xf numFmtId="3" fontId="12" fillId="0" borderId="80" xfId="1" applyNumberFormat="1" applyFont="1" applyFill="1" applyBorder="1" applyAlignment="1">
      <alignment horizontal="right" vertical="center"/>
    </xf>
    <xf numFmtId="4" fontId="20" fillId="0" borderId="0" xfId="1" applyNumberFormat="1" applyFont="1" applyAlignment="1">
      <alignment horizontal="center" vertical="center"/>
    </xf>
    <xf numFmtId="0" fontId="8" fillId="0" borderId="53" xfId="1" applyFont="1" applyFill="1" applyBorder="1" applyAlignment="1">
      <alignment horizontal="center" vertical="center" wrapText="1"/>
    </xf>
    <xf numFmtId="3" fontId="8" fillId="0" borderId="53" xfId="1" applyNumberFormat="1" applyFont="1" applyFill="1" applyBorder="1" applyAlignment="1">
      <alignment horizontal="right" vertical="center"/>
    </xf>
    <xf numFmtId="3" fontId="45" fillId="0" borderId="53" xfId="1" applyNumberFormat="1" applyFont="1" applyFill="1" applyBorder="1" applyAlignment="1">
      <alignment horizontal="right" vertical="center"/>
    </xf>
    <xf numFmtId="3" fontId="45" fillId="0" borderId="80" xfId="1" applyNumberFormat="1" applyFont="1" applyFill="1" applyBorder="1" applyAlignment="1">
      <alignment horizontal="right" vertical="center"/>
    </xf>
    <xf numFmtId="3" fontId="8" fillId="0" borderId="80" xfId="1" applyNumberFormat="1" applyFont="1" applyFill="1" applyBorder="1" applyAlignment="1">
      <alignment horizontal="right" vertical="center"/>
    </xf>
    <xf numFmtId="49" fontId="12" fillId="0" borderId="53" xfId="1" applyNumberFormat="1" applyFont="1" applyFill="1" applyBorder="1" applyAlignment="1">
      <alignment horizontal="center" vertical="center"/>
    </xf>
    <xf numFmtId="49" fontId="49" fillId="17" borderId="53" xfId="1" applyNumberFormat="1" applyFont="1" applyFill="1" applyBorder="1" applyAlignment="1">
      <alignment horizontal="center" vertical="center"/>
    </xf>
    <xf numFmtId="3" fontId="12" fillId="17" borderId="53" xfId="1" applyNumberFormat="1" applyFont="1" applyFill="1" applyBorder="1" applyAlignment="1">
      <alignment horizontal="right" vertical="center"/>
    </xf>
    <xf numFmtId="3" fontId="12" fillId="17" borderId="80" xfId="1" applyNumberFormat="1" applyFont="1" applyFill="1" applyBorder="1" applyAlignment="1">
      <alignment horizontal="right" vertical="center"/>
    </xf>
    <xf numFmtId="3" fontId="49" fillId="0" borderId="80" xfId="1" applyNumberFormat="1" applyFont="1" applyFill="1" applyBorder="1" applyAlignment="1">
      <alignment horizontal="right" vertical="center"/>
    </xf>
    <xf numFmtId="0" fontId="12" fillId="17" borderId="53" xfId="1" applyFont="1" applyFill="1" applyBorder="1" applyAlignment="1">
      <alignment horizontal="center" vertical="center"/>
    </xf>
    <xf numFmtId="49" fontId="12" fillId="17" borderId="53" xfId="1" applyNumberFormat="1" applyFont="1" applyFill="1" applyBorder="1" applyAlignment="1">
      <alignment horizontal="center" vertical="center"/>
    </xf>
    <xf numFmtId="3" fontId="20" fillId="19" borderId="0" xfId="1" applyNumberFormat="1" applyFont="1" applyFill="1" applyAlignment="1">
      <alignment horizontal="center" vertical="center"/>
    </xf>
    <xf numFmtId="0" fontId="20" fillId="19" borderId="0" xfId="1" applyFont="1" applyFill="1" applyAlignment="1">
      <alignment horizontal="center" vertical="center"/>
    </xf>
    <xf numFmtId="0" fontId="8" fillId="0" borderId="53" xfId="1" applyFont="1" applyFill="1" applyBorder="1" applyAlignment="1">
      <alignment horizontal="center" vertical="center"/>
    </xf>
    <xf numFmtId="0" fontId="12" fillId="0" borderId="53" xfId="1" applyFont="1" applyFill="1" applyBorder="1" applyAlignment="1">
      <alignment horizontal="center" vertical="center"/>
    </xf>
    <xf numFmtId="0" fontId="8" fillId="0" borderId="58" xfId="1" applyFont="1" applyFill="1" applyBorder="1" applyAlignment="1">
      <alignment horizontal="center" vertical="center"/>
    </xf>
    <xf numFmtId="3" fontId="8" fillId="0" borderId="58" xfId="1" applyNumberFormat="1" applyFont="1" applyFill="1" applyBorder="1" applyAlignment="1">
      <alignment horizontal="right" vertical="center"/>
    </xf>
    <xf numFmtId="3" fontId="8" fillId="0" borderId="83" xfId="1" applyNumberFormat="1" applyFont="1" applyFill="1" applyBorder="1" applyAlignment="1">
      <alignment horizontal="right" vertical="center"/>
    </xf>
    <xf numFmtId="49" fontId="12" fillId="4" borderId="32" xfId="1" applyNumberFormat="1" applyFont="1" applyFill="1" applyBorder="1" applyAlignment="1">
      <alignment horizontal="center" vertical="center"/>
    </xf>
    <xf numFmtId="3" fontId="12" fillId="4" borderId="32" xfId="1" applyNumberFormat="1" applyFont="1" applyFill="1" applyBorder="1" applyAlignment="1">
      <alignment horizontal="right" vertical="center"/>
    </xf>
    <xf numFmtId="49" fontId="20" fillId="0" borderId="0" xfId="1" applyNumberFormat="1" applyFont="1" applyAlignment="1">
      <alignment horizontal="center" vertical="top"/>
    </xf>
    <xf numFmtId="49" fontId="50" fillId="0" borderId="0" xfId="1" applyNumberFormat="1" applyFont="1" applyAlignment="1">
      <alignment horizontal="center" vertical="center"/>
    </xf>
    <xf numFmtId="0" fontId="20" fillId="0" borderId="0" xfId="1" applyFont="1" applyAlignment="1">
      <alignment horizontal="center" vertical="top"/>
    </xf>
    <xf numFmtId="0" fontId="50" fillId="0" borderId="0" xfId="1" applyFont="1" applyAlignment="1">
      <alignment horizontal="center" vertical="center"/>
    </xf>
    <xf numFmtId="0" fontId="48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top"/>
    </xf>
    <xf numFmtId="0" fontId="52" fillId="0" borderId="0" xfId="0" applyFont="1" applyAlignment="1">
      <alignment horizontal="center"/>
    </xf>
    <xf numFmtId="0" fontId="42" fillId="0" borderId="0" xfId="0" applyFont="1" applyAlignment="1">
      <alignment horizontal="right"/>
    </xf>
    <xf numFmtId="49" fontId="53" fillId="0" borderId="24" xfId="0" applyNumberFormat="1" applyFont="1" applyBorder="1" applyAlignment="1">
      <alignment horizontal="center" vertical="center"/>
    </xf>
    <xf numFmtId="49" fontId="21" fillId="0" borderId="73" xfId="0" applyNumberFormat="1" applyFont="1" applyBorder="1" applyAlignment="1">
      <alignment horizontal="center" vertical="center"/>
    </xf>
    <xf numFmtId="3" fontId="21" fillId="0" borderId="49" xfId="0" applyNumberFormat="1" applyFont="1" applyBorder="1" applyAlignment="1">
      <alignment horizontal="right" vertical="center"/>
    </xf>
    <xf numFmtId="3" fontId="21" fillId="0" borderId="49" xfId="0" applyNumberFormat="1" applyFont="1" applyBorder="1" applyAlignment="1">
      <alignment vertical="center" wrapText="1"/>
    </xf>
    <xf numFmtId="0" fontId="21" fillId="0" borderId="49" xfId="0" applyFont="1" applyBorder="1" applyAlignment="1">
      <alignment horizontal="left" vertical="center" wrapText="1"/>
    </xf>
    <xf numFmtId="0" fontId="53" fillId="0" borderId="49" xfId="0" applyFont="1" applyBorder="1" applyAlignment="1">
      <alignment horizontal="center" vertical="center"/>
    </xf>
    <xf numFmtId="0" fontId="21" fillId="0" borderId="63" xfId="0" applyFont="1" applyBorder="1" applyAlignment="1">
      <alignment horizontal="center" vertical="center"/>
    </xf>
    <xf numFmtId="0" fontId="21" fillId="0" borderId="49" xfId="0" applyFont="1" applyBorder="1" applyAlignment="1">
      <alignment vertical="center" wrapText="1"/>
    </xf>
    <xf numFmtId="3" fontId="54" fillId="2" borderId="7" xfId="0" applyNumberFormat="1" applyFont="1" applyFill="1" applyBorder="1" applyAlignment="1">
      <alignment horizontal="right" vertical="center" wrapText="1"/>
    </xf>
    <xf numFmtId="0" fontId="53" fillId="2" borderId="7" xfId="0" applyFont="1" applyFill="1" applyBorder="1" applyAlignment="1">
      <alignment vertical="center"/>
    </xf>
    <xf numFmtId="0" fontId="16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vertical="center" wrapText="1"/>
    </xf>
    <xf numFmtId="0" fontId="9" fillId="3" borderId="66" xfId="1" applyFont="1" applyFill="1" applyBorder="1" applyAlignment="1">
      <alignment horizontal="center" vertical="center" wrapText="1"/>
    </xf>
    <xf numFmtId="0" fontId="9" fillId="3" borderId="83" xfId="1" applyFont="1" applyFill="1" applyBorder="1" applyAlignment="1">
      <alignment horizontal="center" vertical="center" wrapText="1"/>
    </xf>
    <xf numFmtId="3" fontId="9" fillId="4" borderId="7" xfId="1" applyNumberFormat="1" applyFont="1" applyFill="1" applyBorder="1" applyAlignment="1">
      <alignment horizontal="right" vertical="center"/>
    </xf>
    <xf numFmtId="3" fontId="9" fillId="4" borderId="31" xfId="1" applyNumberFormat="1" applyFont="1" applyFill="1" applyBorder="1" applyAlignment="1">
      <alignment horizontal="right" vertical="center"/>
    </xf>
    <xf numFmtId="3" fontId="9" fillId="4" borderId="34" xfId="1" applyNumberFormat="1" applyFont="1" applyFill="1" applyBorder="1" applyAlignment="1">
      <alignment horizontal="right" vertical="center"/>
    </xf>
    <xf numFmtId="3" fontId="8" fillId="0" borderId="22" xfId="1" applyNumberFormat="1" applyFont="1" applyBorder="1" applyAlignment="1">
      <alignment horizontal="right" vertical="center"/>
    </xf>
    <xf numFmtId="3" fontId="8" fillId="0" borderId="6" xfId="1" applyNumberFormat="1" applyFont="1" applyBorder="1" applyAlignment="1">
      <alignment horizontal="right" vertical="center"/>
    </xf>
    <xf numFmtId="3" fontId="8" fillId="0" borderId="28" xfId="1" applyNumberFormat="1" applyFont="1" applyBorder="1" applyAlignment="1">
      <alignment horizontal="right" vertical="center"/>
    </xf>
    <xf numFmtId="0" fontId="7" fillId="0" borderId="61" xfId="1" applyFont="1" applyBorder="1" applyAlignment="1">
      <alignment horizontal="center" vertical="center"/>
    </xf>
    <xf numFmtId="49" fontId="8" fillId="17" borderId="65" xfId="1" applyNumberFormat="1" applyFont="1" applyFill="1" applyBorder="1" applyAlignment="1">
      <alignment horizontal="center" vertical="center" wrapText="1"/>
    </xf>
    <xf numFmtId="3" fontId="7" fillId="0" borderId="73" xfId="1" applyNumberFormat="1" applyFont="1" applyBorder="1" applyAlignment="1">
      <alignment horizontal="right" vertical="center"/>
    </xf>
    <xf numFmtId="3" fontId="7" fillId="0" borderId="66" xfId="1" applyNumberFormat="1" applyFont="1" applyBorder="1" applyAlignment="1">
      <alignment horizontal="right" vertical="center"/>
    </xf>
    <xf numFmtId="3" fontId="47" fillId="0" borderId="83" xfId="1" applyNumberFormat="1" applyFont="1" applyBorder="1" applyAlignment="1">
      <alignment vertical="center"/>
    </xf>
    <xf numFmtId="0" fontId="7" fillId="0" borderId="90" xfId="1" applyFont="1" applyBorder="1" applyAlignment="1">
      <alignment horizontal="center" vertical="center"/>
    </xf>
    <xf numFmtId="49" fontId="8" fillId="17" borderId="89" xfId="1" applyNumberFormat="1" applyFont="1" applyFill="1" applyBorder="1" applyAlignment="1">
      <alignment horizontal="center" vertical="center" wrapText="1"/>
    </xf>
    <xf numFmtId="3" fontId="47" fillId="0" borderId="90" xfId="1" applyNumberFormat="1" applyFont="1" applyBorder="1" applyAlignment="1">
      <alignment horizontal="right" vertical="center"/>
    </xf>
    <xf numFmtId="3" fontId="7" fillId="0" borderId="89" xfId="1" applyNumberFormat="1" applyFont="1" applyBorder="1" applyAlignment="1">
      <alignment vertical="center"/>
    </xf>
    <xf numFmtId="0" fontId="7" fillId="0" borderId="66" xfId="1" applyFont="1" applyBorder="1" applyAlignment="1">
      <alignment horizontal="center" vertical="center"/>
    </xf>
    <xf numFmtId="0" fontId="7" fillId="0" borderId="75" xfId="1" applyFont="1" applyBorder="1" applyAlignment="1">
      <alignment horizontal="center" vertical="center"/>
    </xf>
    <xf numFmtId="49" fontId="8" fillId="17" borderId="76" xfId="1" applyNumberFormat="1" applyFont="1" applyFill="1" applyBorder="1" applyAlignment="1">
      <alignment horizontal="center" vertical="center" wrapText="1"/>
    </xf>
    <xf numFmtId="3" fontId="12" fillId="3" borderId="7" xfId="1" applyNumberFormat="1" applyFont="1" applyFill="1" applyBorder="1" applyAlignment="1">
      <alignment horizontal="right" vertical="center"/>
    </xf>
    <xf numFmtId="3" fontId="12" fillId="3" borderId="31" xfId="1" applyNumberFormat="1" applyFont="1" applyFill="1" applyBorder="1" applyAlignment="1">
      <alignment horizontal="right" vertical="center"/>
    </xf>
    <xf numFmtId="49" fontId="25" fillId="0" borderId="0" xfId="1" applyNumberFormat="1" applyFont="1" applyBorder="1" applyAlignment="1">
      <alignment horizontal="center" vertical="top"/>
    </xf>
    <xf numFmtId="49" fontId="50" fillId="0" borderId="0" xfId="1" applyNumberFormat="1" applyFont="1" applyBorder="1" applyAlignment="1">
      <alignment horizontal="center" vertical="center"/>
    </xf>
    <xf numFmtId="0" fontId="20" fillId="0" borderId="0" xfId="1" applyFont="1" applyBorder="1" applyAlignment="1">
      <alignment horizontal="center" vertical="center"/>
    </xf>
    <xf numFmtId="3" fontId="30" fillId="0" borderId="0" xfId="1" applyNumberFormat="1" applyFont="1" applyBorder="1" applyAlignment="1">
      <alignment horizontal="right" vertical="center"/>
    </xf>
    <xf numFmtId="3" fontId="20" fillId="0" borderId="0" xfId="1" applyNumberFormat="1" applyFont="1" applyBorder="1" applyAlignment="1">
      <alignment horizontal="center" vertical="center"/>
    </xf>
    <xf numFmtId="49" fontId="25" fillId="0" borderId="0" xfId="1" applyNumberFormat="1" applyFont="1" applyAlignment="1">
      <alignment horizontal="center" vertical="top"/>
    </xf>
    <xf numFmtId="0" fontId="44" fillId="0" borderId="0" xfId="15" applyFont="1" applyAlignment="1">
      <alignment horizontal="center" vertical="center"/>
    </xf>
    <xf numFmtId="0" fontId="44" fillId="0" borderId="0" xfId="15" applyFont="1" applyAlignment="1">
      <alignment vertical="center"/>
    </xf>
    <xf numFmtId="0" fontId="44" fillId="0" borderId="0" xfId="15"/>
    <xf numFmtId="0" fontId="56" fillId="0" borderId="0" xfId="15" applyFont="1" applyBorder="1" applyAlignment="1">
      <alignment horizontal="center" vertical="center"/>
    </xf>
    <xf numFmtId="0" fontId="44" fillId="0" borderId="0" xfId="15" applyFont="1" applyBorder="1" applyAlignment="1">
      <alignment horizontal="center" vertical="center"/>
    </xf>
    <xf numFmtId="0" fontId="44" fillId="0" borderId="0" xfId="15" applyFont="1" applyBorder="1" applyAlignment="1">
      <alignment vertical="center"/>
    </xf>
    <xf numFmtId="3" fontId="57" fillId="0" borderId="44" xfId="15" applyNumberFormat="1" applyFont="1" applyBorder="1" applyAlignment="1">
      <alignment vertical="center"/>
    </xf>
    <xf numFmtId="0" fontId="12" fillId="2" borderId="7" xfId="15" applyFont="1" applyFill="1" applyBorder="1" applyAlignment="1">
      <alignment horizontal="center" vertical="center" wrapText="1"/>
    </xf>
    <xf numFmtId="0" fontId="12" fillId="2" borderId="15" xfId="15" applyFont="1" applyFill="1" applyBorder="1" applyAlignment="1">
      <alignment horizontal="center" vertical="center" wrapText="1"/>
    </xf>
    <xf numFmtId="0" fontId="12" fillId="2" borderId="12" xfId="15" applyFont="1" applyFill="1" applyBorder="1" applyAlignment="1">
      <alignment horizontal="center" vertical="center" wrapText="1"/>
    </xf>
    <xf numFmtId="3" fontId="60" fillId="2" borderId="7" xfId="15" applyNumberFormat="1" applyFont="1" applyFill="1" applyBorder="1" applyAlignment="1">
      <alignment horizontal="center" vertical="center"/>
    </xf>
    <xf numFmtId="0" fontId="12" fillId="4" borderId="7" xfId="15" quotePrefix="1" applyFont="1" applyFill="1" applyBorder="1" applyAlignment="1">
      <alignment horizontal="center" vertical="center" wrapText="1"/>
    </xf>
    <xf numFmtId="0" fontId="12" fillId="4" borderId="15" xfId="15" quotePrefix="1" applyFont="1" applyFill="1" applyBorder="1" applyAlignment="1">
      <alignment horizontal="center" vertical="center" wrapText="1"/>
    </xf>
    <xf numFmtId="0" fontId="12" fillId="4" borderId="12" xfId="15" applyFont="1" applyFill="1" applyBorder="1" applyAlignment="1">
      <alignment vertical="center" wrapText="1"/>
    </xf>
    <xf numFmtId="3" fontId="60" fillId="4" borderId="24" xfId="15" applyNumberFormat="1" applyFont="1" applyFill="1" applyBorder="1" applyAlignment="1">
      <alignment vertical="center"/>
    </xf>
    <xf numFmtId="49" fontId="9" fillId="20" borderId="16" xfId="15" applyNumberFormat="1" applyFont="1" applyFill="1" applyBorder="1" applyAlignment="1">
      <alignment horizontal="center" vertical="center" wrapText="1"/>
    </xf>
    <xf numFmtId="0" fontId="9" fillId="20" borderId="7" xfId="15" applyFont="1" applyFill="1" applyBorder="1" applyAlignment="1">
      <alignment vertical="center" wrapText="1"/>
    </xf>
    <xf numFmtId="0" fontId="9" fillId="20" borderId="12" xfId="15" applyFont="1" applyFill="1" applyBorder="1" applyAlignment="1">
      <alignment vertical="center" wrapText="1"/>
    </xf>
    <xf numFmtId="3" fontId="60" fillId="20" borderId="24" xfId="15" applyNumberFormat="1" applyFont="1" applyFill="1" applyBorder="1" applyAlignment="1">
      <alignment vertical="center"/>
    </xf>
    <xf numFmtId="0" fontId="8" fillId="21" borderId="71" xfId="15" applyFont="1" applyFill="1" applyBorder="1" applyAlignment="1">
      <alignment vertical="center" wrapText="1"/>
    </xf>
    <xf numFmtId="3" fontId="61" fillId="21" borderId="11" xfId="15" applyNumberFormat="1" applyFont="1" applyFill="1" applyBorder="1" applyAlignment="1">
      <alignment vertical="center"/>
    </xf>
    <xf numFmtId="49" fontId="7" fillId="0" borderId="23" xfId="15" applyNumberFormat="1" applyFont="1" applyFill="1" applyBorder="1" applyAlignment="1">
      <alignment horizontal="center" vertical="center" wrapText="1"/>
    </xf>
    <xf numFmtId="49" fontId="7" fillId="0" borderId="9" xfId="15" applyNumberFormat="1" applyFont="1" applyFill="1" applyBorder="1" applyAlignment="1">
      <alignment horizontal="center" vertical="center" wrapText="1"/>
    </xf>
    <xf numFmtId="3" fontId="61" fillId="21" borderId="10" xfId="15" applyNumberFormat="1" applyFont="1" applyFill="1" applyBorder="1" applyAlignment="1">
      <alignment vertical="center"/>
    </xf>
    <xf numFmtId="0" fontId="62" fillId="20" borderId="16" xfId="15" quotePrefix="1" applyFont="1" applyFill="1" applyBorder="1" applyAlignment="1">
      <alignment horizontal="center" vertical="center" wrapText="1"/>
    </xf>
    <xf numFmtId="0" fontId="62" fillId="20" borderId="7" xfId="15" applyFont="1" applyFill="1" applyBorder="1" applyAlignment="1">
      <alignment vertical="center" wrapText="1"/>
    </xf>
    <xf numFmtId="0" fontId="62" fillId="20" borderId="16" xfId="15" applyFont="1" applyFill="1" applyBorder="1" applyAlignment="1">
      <alignment vertical="center" wrapText="1"/>
    </xf>
    <xf numFmtId="3" fontId="60" fillId="20" borderId="7" xfId="15" applyNumberFormat="1" applyFont="1" applyFill="1" applyBorder="1" applyAlignment="1">
      <alignment vertical="center"/>
    </xf>
    <xf numFmtId="0" fontId="8" fillId="21" borderId="71" xfId="15" quotePrefix="1" applyFont="1" applyFill="1" applyBorder="1" applyAlignment="1">
      <alignment horizontal="left" vertical="center" wrapText="1"/>
    </xf>
    <xf numFmtId="3" fontId="61" fillId="21" borderId="22" xfId="15" applyNumberFormat="1" applyFont="1" applyFill="1" applyBorder="1" applyAlignment="1">
      <alignment vertical="center"/>
    </xf>
    <xf numFmtId="49" fontId="7" fillId="0" borderId="23" xfId="15" applyNumberFormat="1" applyFont="1" applyBorder="1" applyAlignment="1">
      <alignment horizontal="center" vertical="center" wrapText="1"/>
    </xf>
    <xf numFmtId="0" fontId="62" fillId="20" borderId="12" xfId="15" applyFont="1" applyFill="1" applyBorder="1" applyAlignment="1">
      <alignment vertical="center" wrapText="1"/>
    </xf>
    <xf numFmtId="3" fontId="61" fillId="21" borderId="24" xfId="15" applyNumberFormat="1" applyFont="1" applyFill="1" applyBorder="1" applyAlignment="1">
      <alignment vertical="center"/>
    </xf>
    <xf numFmtId="0" fontId="8" fillId="21" borderId="23" xfId="15" quotePrefix="1" applyFont="1" applyFill="1" applyBorder="1" applyAlignment="1">
      <alignment horizontal="left" vertical="center" wrapText="1"/>
    </xf>
    <xf numFmtId="3" fontId="61" fillId="21" borderId="21" xfId="15" applyNumberFormat="1" applyFont="1" applyFill="1" applyBorder="1" applyAlignment="1">
      <alignment vertical="center"/>
    </xf>
    <xf numFmtId="0" fontId="56" fillId="11" borderId="22" xfId="15" applyFont="1" applyFill="1" applyBorder="1" applyAlignment="1">
      <alignment vertical="center" wrapText="1"/>
    </xf>
    <xf numFmtId="49" fontId="8" fillId="21" borderId="23" xfId="15" applyNumberFormat="1" applyFont="1" applyFill="1" applyBorder="1" applyAlignment="1">
      <alignment horizontal="left" vertical="center" wrapText="1"/>
    </xf>
    <xf numFmtId="49" fontId="56" fillId="0" borderId="23" xfId="15" applyNumberFormat="1" applyFont="1" applyBorder="1" applyAlignment="1">
      <alignment horizontal="center" vertical="center" wrapText="1"/>
    </xf>
    <xf numFmtId="49" fontId="9" fillId="20" borderId="7" xfId="15" applyNumberFormat="1" applyFont="1" applyFill="1" applyBorder="1" applyAlignment="1">
      <alignment horizontal="center" vertical="center" wrapText="1"/>
    </xf>
    <xf numFmtId="0" fontId="56" fillId="0" borderId="95" xfId="15" applyFont="1" applyBorder="1" applyAlignment="1">
      <alignment horizontal="center" vertical="center" wrapText="1"/>
    </xf>
    <xf numFmtId="0" fontId="56" fillId="0" borderId="25" xfId="15" applyFont="1" applyBorder="1" applyAlignment="1">
      <alignment vertical="center" wrapText="1"/>
    </xf>
    <xf numFmtId="0" fontId="56" fillId="0" borderId="10" xfId="15" applyFont="1" applyBorder="1" applyAlignment="1">
      <alignment horizontal="center" vertical="center" wrapText="1"/>
    </xf>
    <xf numFmtId="49" fontId="9" fillId="20" borderId="26" xfId="15" applyNumberFormat="1" applyFont="1" applyFill="1" applyBorder="1" applyAlignment="1">
      <alignment horizontal="center" vertical="center" wrapText="1"/>
    </xf>
    <xf numFmtId="0" fontId="62" fillId="20" borderId="25" xfId="15" applyFont="1" applyFill="1" applyBorder="1" applyAlignment="1">
      <alignment vertical="center" wrapText="1"/>
    </xf>
    <xf numFmtId="0" fontId="56" fillId="0" borderId="23" xfId="15" applyFont="1" applyBorder="1" applyAlignment="1">
      <alignment horizontal="center" vertical="center" wrapText="1"/>
    </xf>
    <xf numFmtId="49" fontId="12" fillId="4" borderId="7" xfId="15" applyNumberFormat="1" applyFont="1" applyFill="1" applyBorder="1" applyAlignment="1">
      <alignment horizontal="center" vertical="center" wrapText="1"/>
    </xf>
    <xf numFmtId="49" fontId="12" fillId="4" borderId="26" xfId="15" applyNumberFormat="1" applyFont="1" applyFill="1" applyBorder="1" applyAlignment="1">
      <alignment horizontal="center" vertical="center" wrapText="1"/>
    </xf>
    <xf numFmtId="49" fontId="12" fillId="4" borderId="44" xfId="15" applyNumberFormat="1" applyFont="1" applyFill="1" applyBorder="1" applyAlignment="1">
      <alignment horizontal="left" vertical="center" wrapText="1"/>
    </xf>
    <xf numFmtId="49" fontId="12" fillId="4" borderId="25" xfId="15" applyNumberFormat="1" applyFont="1" applyFill="1" applyBorder="1" applyAlignment="1">
      <alignment horizontal="left" vertical="center" wrapText="1"/>
    </xf>
    <xf numFmtId="3" fontId="60" fillId="4" borderId="21" xfId="15" applyNumberFormat="1" applyFont="1" applyFill="1" applyBorder="1" applyAlignment="1">
      <alignment vertical="center"/>
    </xf>
    <xf numFmtId="0" fontId="44" fillId="0" borderId="0" xfId="15" applyFont="1"/>
    <xf numFmtId="49" fontId="9" fillId="20" borderId="15" xfId="15" applyNumberFormat="1" applyFont="1" applyFill="1" applyBorder="1" applyAlignment="1">
      <alignment horizontal="center" vertical="center" wrapText="1"/>
    </xf>
    <xf numFmtId="0" fontId="8" fillId="21" borderId="9" xfId="15" quotePrefix="1" applyFont="1" applyFill="1" applyBorder="1" applyAlignment="1">
      <alignment horizontal="left" vertical="center" wrapText="1"/>
    </xf>
    <xf numFmtId="0" fontId="12" fillId="0" borderId="17" xfId="15" quotePrefix="1" applyFont="1" applyFill="1" applyBorder="1" applyAlignment="1">
      <alignment horizontal="center" vertical="center" wrapText="1"/>
    </xf>
    <xf numFmtId="49" fontId="12" fillId="4" borderId="17" xfId="15" applyNumberFormat="1" applyFont="1" applyFill="1" applyBorder="1" applyAlignment="1">
      <alignment horizontal="center" vertical="center" wrapText="1"/>
    </xf>
    <xf numFmtId="49" fontId="12" fillId="4" borderId="15" xfId="15" applyNumberFormat="1" applyFont="1" applyFill="1" applyBorder="1" applyAlignment="1">
      <alignment horizontal="center" vertical="center" wrapText="1"/>
    </xf>
    <xf numFmtId="49" fontId="12" fillId="4" borderId="12" xfId="15" applyNumberFormat="1" applyFont="1" applyFill="1" applyBorder="1" applyAlignment="1">
      <alignment horizontal="left" vertical="center" wrapText="1"/>
    </xf>
    <xf numFmtId="3" fontId="60" fillId="4" borderId="7" xfId="15" applyNumberFormat="1" applyFont="1" applyFill="1" applyBorder="1" applyAlignment="1">
      <alignment vertical="center"/>
    </xf>
    <xf numFmtId="0" fontId="12" fillId="4" borderId="7" xfId="15" applyFont="1" applyFill="1" applyBorder="1" applyAlignment="1">
      <alignment horizontal="center" vertical="center" wrapText="1"/>
    </xf>
    <xf numFmtId="0" fontId="12" fillId="4" borderId="15" xfId="15" applyFont="1" applyFill="1" applyBorder="1" applyAlignment="1">
      <alignment horizontal="center" vertical="center" wrapText="1"/>
    </xf>
    <xf numFmtId="0" fontId="12" fillId="4" borderId="7" xfId="15" applyFont="1" applyFill="1" applyBorder="1" applyAlignment="1">
      <alignment vertical="center" wrapText="1"/>
    </xf>
    <xf numFmtId="0" fontId="62" fillId="20" borderId="15" xfId="15" applyFont="1" applyFill="1" applyBorder="1" applyAlignment="1">
      <alignment horizontal="center" vertical="center" wrapText="1"/>
    </xf>
    <xf numFmtId="0" fontId="8" fillId="21" borderId="11" xfId="15" quotePrefix="1" applyFont="1" applyFill="1" applyBorder="1" applyAlignment="1">
      <alignment horizontal="left" vertical="center" wrapText="1"/>
    </xf>
    <xf numFmtId="0" fontId="42" fillId="0" borderId="22" xfId="15" applyFont="1" applyBorder="1" applyAlignment="1">
      <alignment vertical="center" wrapText="1"/>
    </xf>
    <xf numFmtId="0" fontId="8" fillId="21" borderId="22" xfId="15" applyFont="1" applyFill="1" applyBorder="1" applyAlignment="1">
      <alignment horizontal="left" vertical="center" wrapText="1"/>
    </xf>
    <xf numFmtId="0" fontId="9" fillId="20" borderId="15" xfId="15" applyFont="1" applyFill="1" applyBorder="1" applyAlignment="1">
      <alignment horizontal="center" vertical="center" wrapText="1"/>
    </xf>
    <xf numFmtId="0" fontId="62" fillId="0" borderId="8" xfId="15" applyFont="1" applyFill="1" applyBorder="1" applyAlignment="1">
      <alignment horizontal="center" vertical="center" wrapText="1"/>
    </xf>
    <xf numFmtId="0" fontId="56" fillId="0" borderId="29" xfId="15" applyFont="1" applyBorder="1" applyAlignment="1">
      <alignment horizontal="center" vertical="center" wrapText="1"/>
    </xf>
    <xf numFmtId="0" fontId="56" fillId="0" borderId="0" xfId="15" applyFont="1" applyBorder="1" applyAlignment="1">
      <alignment vertical="center" wrapText="1"/>
    </xf>
    <xf numFmtId="49" fontId="56" fillId="0" borderId="9" xfId="15" applyNumberFormat="1" applyFont="1" applyBorder="1" applyAlignment="1">
      <alignment horizontal="center" vertical="center" wrapText="1"/>
    </xf>
    <xf numFmtId="0" fontId="62" fillId="20" borderId="7" xfId="15" applyFont="1" applyFill="1" applyBorder="1" applyAlignment="1">
      <alignment horizontal="center" vertical="center" wrapText="1"/>
    </xf>
    <xf numFmtId="0" fontId="9" fillId="20" borderId="16" xfId="15" applyFont="1" applyFill="1" applyBorder="1" applyAlignment="1">
      <alignment horizontal="center" vertical="center" wrapText="1"/>
    </xf>
    <xf numFmtId="0" fontId="9" fillId="20" borderId="7" xfId="15" applyFont="1" applyFill="1" applyBorder="1" applyAlignment="1">
      <alignment horizontal="left" vertical="center" wrapText="1"/>
    </xf>
    <xf numFmtId="0" fontId="7" fillId="20" borderId="12" xfId="15" quotePrefix="1" applyFont="1" applyFill="1" applyBorder="1" applyAlignment="1">
      <alignment horizontal="center" vertical="center" wrapText="1"/>
    </xf>
    <xf numFmtId="0" fontId="7" fillId="21" borderId="14" xfId="15" quotePrefix="1" applyFont="1" applyFill="1" applyBorder="1" applyAlignment="1">
      <alignment horizontal="center" vertical="center" wrapText="1"/>
    </xf>
    <xf numFmtId="0" fontId="7" fillId="11" borderId="21" xfId="15" applyFont="1" applyFill="1" applyBorder="1" applyAlignment="1">
      <alignment horizontal="left" vertical="center" wrapText="1"/>
    </xf>
    <xf numFmtId="0" fontId="7" fillId="11" borderId="9" xfId="15" quotePrefix="1" applyFont="1" applyFill="1" applyBorder="1" applyAlignment="1">
      <alignment horizontal="center" vertical="center" wrapText="1"/>
    </xf>
    <xf numFmtId="0" fontId="7" fillId="21" borderId="25" xfId="15" quotePrefix="1" applyFont="1" applyFill="1" applyBorder="1" applyAlignment="1">
      <alignment horizontal="center" vertical="center" wrapText="1"/>
    </xf>
    <xf numFmtId="0" fontId="63" fillId="4" borderId="7" xfId="15" applyFont="1" applyFill="1" applyBorder="1" applyAlignment="1">
      <alignment horizontal="center" vertical="center" wrapText="1"/>
    </xf>
    <xf numFmtId="0" fontId="63" fillId="4" borderId="15" xfId="15" applyFont="1" applyFill="1" applyBorder="1" applyAlignment="1">
      <alignment horizontal="center" vertical="center" wrapText="1"/>
    </xf>
    <xf numFmtId="0" fontId="63" fillId="4" borderId="7" xfId="15" applyFont="1" applyFill="1" applyBorder="1" applyAlignment="1">
      <alignment vertical="center" wrapText="1"/>
    </xf>
    <xf numFmtId="0" fontId="63" fillId="4" borderId="12" xfId="15" applyFont="1" applyFill="1" applyBorder="1" applyAlignment="1">
      <alignment vertical="center" wrapText="1"/>
    </xf>
    <xf numFmtId="0" fontId="63" fillId="4" borderId="25" xfId="15" applyFont="1" applyFill="1" applyBorder="1" applyAlignment="1">
      <alignment vertical="center" wrapText="1"/>
    </xf>
    <xf numFmtId="3" fontId="61" fillId="11" borderId="22" xfId="15" applyNumberFormat="1" applyFont="1" applyFill="1" applyBorder="1" applyAlignment="1">
      <alignment vertical="center"/>
    </xf>
    <xf numFmtId="3" fontId="61" fillId="11" borderId="21" xfId="15" applyNumberFormat="1" applyFont="1" applyFill="1" applyBorder="1" applyAlignment="1">
      <alignment vertical="center"/>
    </xf>
    <xf numFmtId="0" fontId="62" fillId="4" borderId="15" xfId="15" applyFont="1" applyFill="1" applyBorder="1" applyAlignment="1">
      <alignment horizontal="center" vertical="center" wrapText="1"/>
    </xf>
    <xf numFmtId="0" fontId="7" fillId="0" borderId="23" xfId="15" quotePrefix="1" applyFont="1" applyFill="1" applyBorder="1" applyAlignment="1">
      <alignment horizontal="center" vertical="center" wrapText="1"/>
    </xf>
    <xf numFmtId="0" fontId="62" fillId="20" borderId="12" xfId="15" applyFont="1" applyFill="1" applyBorder="1" applyAlignment="1">
      <alignment horizontal="center" vertical="center" wrapText="1"/>
    </xf>
    <xf numFmtId="49" fontId="64" fillId="21" borderId="9" xfId="15" applyNumberFormat="1" applyFont="1" applyFill="1" applyBorder="1" applyAlignment="1">
      <alignment vertical="center" wrapText="1"/>
    </xf>
    <xf numFmtId="0" fontId="8" fillId="21" borderId="9" xfId="15" quotePrefix="1" applyFont="1" applyFill="1" applyBorder="1" applyAlignment="1">
      <alignment horizontal="center" vertical="center" wrapText="1"/>
    </xf>
    <xf numFmtId="0" fontId="8" fillId="0" borderId="10" xfId="15" applyFont="1" applyBorder="1" applyAlignment="1">
      <alignment horizontal="center" vertical="center" wrapText="1"/>
    </xf>
    <xf numFmtId="3" fontId="61" fillId="11" borderId="10" xfId="15" applyNumberFormat="1" applyFont="1" applyFill="1" applyBorder="1" applyAlignment="1">
      <alignment vertical="center"/>
    </xf>
    <xf numFmtId="0" fontId="12" fillId="4" borderId="15" xfId="15" applyFont="1" applyFill="1" applyBorder="1" applyAlignment="1">
      <alignment vertical="center" wrapText="1"/>
    </xf>
    <xf numFmtId="0" fontId="12" fillId="4" borderId="12" xfId="15" applyFont="1" applyFill="1" applyBorder="1" applyAlignment="1">
      <alignment horizontal="left" vertical="center" wrapText="1"/>
    </xf>
    <xf numFmtId="0" fontId="65" fillId="0" borderId="0" xfId="15" applyFont="1"/>
    <xf numFmtId="0" fontId="62" fillId="20" borderId="26" xfId="15" applyFont="1" applyFill="1" applyBorder="1" applyAlignment="1">
      <alignment horizontal="center" vertical="center" wrapText="1"/>
    </xf>
    <xf numFmtId="3" fontId="8" fillId="21" borderId="11" xfId="15" applyNumberFormat="1" applyFont="1" applyFill="1" applyBorder="1" applyAlignment="1">
      <alignment vertical="center" wrapText="1"/>
    </xf>
    <xf numFmtId="49" fontId="8" fillId="21" borderId="23" xfId="15" quotePrefix="1" applyNumberFormat="1" applyFont="1" applyFill="1" applyBorder="1" applyAlignment="1">
      <alignment horizontal="center" vertical="center" wrapText="1"/>
    </xf>
    <xf numFmtId="0" fontId="8" fillId="0" borderId="8" xfId="15" applyFont="1" applyBorder="1" applyAlignment="1">
      <alignment horizontal="center" vertical="center" wrapText="1"/>
    </xf>
    <xf numFmtId="49" fontId="7" fillId="0" borderId="22" xfId="15" applyNumberFormat="1" applyFont="1" applyBorder="1" applyAlignment="1">
      <alignment horizontal="center" vertical="center" wrapText="1"/>
    </xf>
    <xf numFmtId="0" fontId="63" fillId="4" borderId="16" xfId="15" applyFont="1" applyFill="1" applyBorder="1" applyAlignment="1">
      <alignment vertical="center" wrapText="1"/>
    </xf>
    <xf numFmtId="0" fontId="8" fillId="11" borderId="29" xfId="15" applyFont="1" applyFill="1" applyBorder="1" applyAlignment="1">
      <alignment horizontal="left" vertical="center" wrapText="1"/>
    </xf>
    <xf numFmtId="0" fontId="7" fillId="0" borderId="0" xfId="15" applyFont="1" applyAlignment="1">
      <alignment wrapText="1"/>
    </xf>
    <xf numFmtId="0" fontId="8" fillId="11" borderId="0" xfId="15" applyFont="1" applyFill="1" applyBorder="1" applyAlignment="1">
      <alignment horizontal="left" vertical="center" wrapText="1"/>
    </xf>
    <xf numFmtId="0" fontId="7" fillId="11" borderId="21" xfId="15" quotePrefix="1" applyFont="1" applyFill="1" applyBorder="1" applyAlignment="1">
      <alignment horizontal="left" vertical="center" wrapText="1"/>
    </xf>
    <xf numFmtId="0" fontId="56" fillId="11" borderId="21" xfId="15" applyFont="1" applyFill="1" applyBorder="1" applyAlignment="1">
      <alignment horizontal="center" vertical="center" wrapText="1"/>
    </xf>
    <xf numFmtId="0" fontId="7" fillId="0" borderId="10" xfId="15" applyFont="1" applyBorder="1" applyAlignment="1">
      <alignment horizontal="left" vertical="center" wrapText="1"/>
    </xf>
    <xf numFmtId="0" fontId="63" fillId="4" borderId="17" xfId="15" applyFont="1" applyFill="1" applyBorder="1" applyAlignment="1">
      <alignment vertical="center" wrapText="1"/>
    </xf>
    <xf numFmtId="0" fontId="8" fillId="21" borderId="23" xfId="15" applyFont="1" applyFill="1" applyBorder="1" applyAlignment="1">
      <alignment horizontal="left" vertical="center" wrapText="1"/>
    </xf>
    <xf numFmtId="0" fontId="62" fillId="4" borderId="7" xfId="15" applyFont="1" applyFill="1" applyBorder="1" applyAlignment="1">
      <alignment horizontal="center" vertical="center" wrapText="1"/>
    </xf>
    <xf numFmtId="0" fontId="56" fillId="11" borderId="0" xfId="15" applyFont="1" applyFill="1" applyBorder="1" applyAlignment="1">
      <alignment vertical="center" wrapText="1"/>
    </xf>
    <xf numFmtId="0" fontId="8" fillId="21" borderId="95" xfId="15" quotePrefix="1" applyFont="1" applyFill="1" applyBorder="1" applyAlignment="1">
      <alignment horizontal="left" vertical="center" wrapText="1"/>
    </xf>
    <xf numFmtId="0" fontId="63" fillId="4" borderId="7" xfId="1" applyFont="1" applyFill="1" applyBorder="1" applyAlignment="1">
      <alignment horizontal="center" vertical="center" wrapText="1"/>
    </xf>
    <xf numFmtId="0" fontId="63" fillId="4" borderId="15" xfId="1" applyFont="1" applyFill="1" applyBorder="1" applyAlignment="1">
      <alignment horizontal="center" vertical="center" wrapText="1"/>
    </xf>
    <xf numFmtId="0" fontId="66" fillId="4" borderId="7" xfId="1" applyFont="1" applyFill="1" applyBorder="1" applyAlignment="1">
      <alignment vertical="center" wrapText="1"/>
    </xf>
    <xf numFmtId="0" fontId="66" fillId="4" borderId="12" xfId="1" applyFont="1" applyFill="1" applyBorder="1" applyAlignment="1">
      <alignment vertical="center" wrapText="1"/>
    </xf>
    <xf numFmtId="0" fontId="62" fillId="20" borderId="15" xfId="1" applyFont="1" applyFill="1" applyBorder="1" applyAlignment="1">
      <alignment horizontal="center" vertical="center" wrapText="1"/>
    </xf>
    <xf numFmtId="0" fontId="67" fillId="20" borderId="7" xfId="1" applyFont="1" applyFill="1" applyBorder="1" applyAlignment="1">
      <alignment vertical="center" wrapText="1"/>
    </xf>
    <xf numFmtId="0" fontId="67" fillId="20" borderId="12" xfId="1" applyFont="1" applyFill="1" applyBorder="1" applyAlignment="1">
      <alignment vertical="center" wrapText="1"/>
    </xf>
    <xf numFmtId="0" fontId="44" fillId="11" borderId="0" xfId="15" applyFill="1"/>
    <xf numFmtId="0" fontId="8" fillId="21" borderId="23" xfId="1" applyFont="1" applyFill="1" applyBorder="1" applyAlignment="1">
      <alignment horizontal="left" vertical="center" wrapText="1"/>
    </xf>
    <xf numFmtId="0" fontId="8" fillId="21" borderId="95" xfId="1" applyFont="1" applyFill="1" applyBorder="1" applyAlignment="1">
      <alignment horizontal="left" vertical="center" wrapText="1"/>
    </xf>
    <xf numFmtId="0" fontId="62" fillId="20" borderId="7" xfId="1" applyFont="1" applyFill="1" applyBorder="1" applyAlignment="1">
      <alignment horizontal="center" vertical="center" wrapText="1"/>
    </xf>
    <xf numFmtId="0" fontId="69" fillId="11" borderId="94" xfId="1" applyFont="1" applyFill="1" applyBorder="1" applyAlignment="1">
      <alignment vertical="center" wrapText="1"/>
    </xf>
    <xf numFmtId="0" fontId="42" fillId="11" borderId="29" xfId="1" applyFont="1" applyFill="1" applyBorder="1" applyAlignment="1">
      <alignment horizontal="left" vertical="center" wrapText="1"/>
    </xf>
    <xf numFmtId="0" fontId="71" fillId="20" borderId="15" xfId="1" applyFont="1" applyFill="1" applyBorder="1" applyAlignment="1">
      <alignment horizontal="center" vertical="center" wrapText="1"/>
    </xf>
    <xf numFmtId="0" fontId="71" fillId="20" borderId="7" xfId="1" applyFont="1" applyFill="1" applyBorder="1" applyAlignment="1">
      <alignment vertical="center" wrapText="1"/>
    </xf>
    <xf numFmtId="0" fontId="71" fillId="20" borderId="12" xfId="1" applyFont="1" applyFill="1" applyBorder="1" applyAlignment="1">
      <alignment vertical="center" wrapText="1"/>
    </xf>
    <xf numFmtId="0" fontId="69" fillId="21" borderId="23" xfId="1" applyFont="1" applyFill="1" applyBorder="1" applyAlignment="1">
      <alignment horizontal="left" vertical="center" wrapText="1"/>
    </xf>
    <xf numFmtId="0" fontId="71" fillId="11" borderId="94" xfId="1" applyFont="1" applyFill="1" applyBorder="1" applyAlignment="1">
      <alignment horizontal="center" vertical="center" wrapText="1"/>
    </xf>
    <xf numFmtId="0" fontId="42" fillId="11" borderId="0" xfId="1" applyFont="1" applyFill="1" applyBorder="1" applyAlignment="1">
      <alignment horizontal="left" vertical="center" wrapText="1"/>
    </xf>
    <xf numFmtId="0" fontId="42" fillId="11" borderId="17" xfId="1" applyFont="1" applyFill="1" applyBorder="1" applyAlignment="1">
      <alignment horizontal="center" vertical="center" wrapText="1"/>
    </xf>
    <xf numFmtId="0" fontId="71" fillId="11" borderId="22" xfId="1" applyFont="1" applyFill="1" applyBorder="1" applyAlignment="1">
      <alignment horizontal="center" vertical="center" wrapText="1"/>
    </xf>
    <xf numFmtId="0" fontId="42" fillId="11" borderId="23" xfId="1" applyFont="1" applyFill="1" applyBorder="1" applyAlignment="1">
      <alignment horizontal="center" vertical="center" wrapText="1"/>
    </xf>
    <xf numFmtId="0" fontId="69" fillId="11" borderId="17" xfId="1" applyFont="1" applyFill="1" applyBorder="1" applyAlignment="1">
      <alignment horizontal="center" vertical="center" wrapText="1"/>
    </xf>
    <xf numFmtId="0" fontId="7" fillId="0" borderId="44" xfId="15" applyFont="1" applyBorder="1" applyAlignment="1">
      <alignment wrapText="1"/>
    </xf>
    <xf numFmtId="0" fontId="72" fillId="4" borderId="15" xfId="1" applyFont="1" applyFill="1" applyBorder="1" applyAlignment="1">
      <alignment horizontal="center" vertical="center" wrapText="1"/>
    </xf>
    <xf numFmtId="0" fontId="72" fillId="4" borderId="7" xfId="1" applyFont="1" applyFill="1" applyBorder="1" applyAlignment="1">
      <alignment vertical="center" wrapText="1"/>
    </xf>
    <xf numFmtId="0" fontId="72" fillId="4" borderId="12" xfId="1" applyFont="1" applyFill="1" applyBorder="1" applyAlignment="1">
      <alignment vertical="center" wrapText="1"/>
    </xf>
    <xf numFmtId="0" fontId="44" fillId="22" borderId="0" xfId="15" applyFill="1"/>
    <xf numFmtId="0" fontId="73" fillId="20" borderId="15" xfId="1" applyFont="1" applyFill="1" applyBorder="1" applyAlignment="1">
      <alignment horizontal="center" vertical="center" wrapText="1"/>
    </xf>
    <xf numFmtId="0" fontId="73" fillId="20" borderId="7" xfId="1" applyFont="1" applyFill="1" applyBorder="1" applyAlignment="1">
      <alignment horizontal="left" vertical="center" wrapText="1"/>
    </xf>
    <xf numFmtId="0" fontId="73" fillId="20" borderId="12" xfId="1" applyFont="1" applyFill="1" applyBorder="1" applyAlignment="1">
      <alignment horizontal="left" vertical="center" wrapText="1"/>
    </xf>
    <xf numFmtId="0" fontId="44" fillId="20" borderId="0" xfId="15" applyFill="1"/>
    <xf numFmtId="0" fontId="56" fillId="0" borderId="22" xfId="15" applyFont="1" applyBorder="1" applyAlignment="1">
      <alignment horizontal="left" vertical="center" wrapText="1"/>
    </xf>
    <xf numFmtId="49" fontId="69" fillId="21" borderId="95" xfId="1" applyNumberFormat="1" applyFont="1" applyFill="1" applyBorder="1" applyAlignment="1">
      <alignment horizontal="center" vertical="center" wrapText="1"/>
    </xf>
    <xf numFmtId="0" fontId="69" fillId="11" borderId="29" xfId="1" applyFont="1" applyFill="1" applyBorder="1" applyAlignment="1">
      <alignment horizontal="left" vertical="center" wrapText="1"/>
    </xf>
    <xf numFmtId="3" fontId="63" fillId="4" borderId="7" xfId="1" applyNumberFormat="1" applyFont="1" applyFill="1" applyBorder="1" applyAlignment="1">
      <alignment vertical="center" wrapText="1"/>
    </xf>
    <xf numFmtId="0" fontId="64" fillId="11" borderId="94" xfId="1" applyFont="1" applyFill="1" applyBorder="1" applyAlignment="1">
      <alignment vertical="center" wrapText="1"/>
    </xf>
    <xf numFmtId="0" fontId="63" fillId="11" borderId="21" xfId="1" applyFont="1" applyFill="1" applyBorder="1" applyAlignment="1">
      <alignment vertical="center" wrapText="1"/>
    </xf>
    <xf numFmtId="0" fontId="64" fillId="11" borderId="29" xfId="1" applyFont="1" applyFill="1" applyBorder="1" applyAlignment="1">
      <alignment vertical="center" wrapText="1"/>
    </xf>
    <xf numFmtId="49" fontId="42" fillId="11" borderId="95" xfId="1" applyNumberFormat="1" applyFont="1" applyFill="1" applyBorder="1" applyAlignment="1">
      <alignment horizontal="center" vertical="center" wrapText="1"/>
    </xf>
    <xf numFmtId="3" fontId="61" fillId="21" borderId="17" xfId="15" applyNumberFormat="1" applyFont="1" applyFill="1" applyBorder="1" applyAlignment="1">
      <alignment vertical="center"/>
    </xf>
    <xf numFmtId="0" fontId="71" fillId="20" borderId="26" xfId="1" applyFont="1" applyFill="1" applyBorder="1" applyAlignment="1">
      <alignment horizontal="center" vertical="center" wrapText="1"/>
    </xf>
    <xf numFmtId="0" fontId="71" fillId="20" borderId="17" xfId="1" applyFont="1" applyFill="1" applyBorder="1" applyAlignment="1">
      <alignment vertical="center" wrapText="1"/>
    </xf>
    <xf numFmtId="0" fontId="71" fillId="20" borderId="25" xfId="1" applyFont="1" applyFill="1" applyBorder="1" applyAlignment="1">
      <alignment vertical="center" wrapText="1"/>
    </xf>
    <xf numFmtId="0" fontId="69" fillId="21" borderId="9" xfId="1" applyFont="1" applyFill="1" applyBorder="1" applyAlignment="1">
      <alignment horizontal="left" vertical="center" wrapText="1"/>
    </xf>
    <xf numFmtId="0" fontId="12" fillId="4" borderId="7" xfId="1" applyFont="1" applyFill="1" applyBorder="1" applyAlignment="1">
      <alignment horizontal="center" vertical="center" wrapText="1"/>
    </xf>
    <xf numFmtId="0" fontId="74" fillId="4" borderId="15" xfId="1" applyFont="1" applyFill="1" applyBorder="1" applyAlignment="1">
      <alignment horizontal="center" vertical="center" wrapText="1"/>
    </xf>
    <xf numFmtId="0" fontId="74" fillId="4" borderId="7" xfId="1" applyFont="1" applyFill="1" applyBorder="1" applyAlignment="1">
      <alignment vertical="center" wrapText="1"/>
    </xf>
    <xf numFmtId="0" fontId="74" fillId="4" borderId="12" xfId="1" applyFont="1" applyFill="1" applyBorder="1" applyAlignment="1">
      <alignment vertical="center" wrapText="1"/>
    </xf>
    <xf numFmtId="0" fontId="42" fillId="4" borderId="15" xfId="1" applyFont="1" applyFill="1" applyBorder="1" applyAlignment="1">
      <alignment horizontal="center" vertical="center" wrapText="1"/>
    </xf>
    <xf numFmtId="0" fontId="74" fillId="4" borderId="7" xfId="1" applyFont="1" applyFill="1" applyBorder="1" applyAlignment="1">
      <alignment horizontal="left" vertical="center" wrapText="1"/>
    </xf>
    <xf numFmtId="0" fontId="74" fillId="4" borderId="12" xfId="1" applyFont="1" applyFill="1" applyBorder="1" applyAlignment="1">
      <alignment horizontal="left" vertical="center" wrapText="1"/>
    </xf>
    <xf numFmtId="3" fontId="61" fillId="20" borderId="24" xfId="15" applyNumberFormat="1" applyFont="1" applyFill="1" applyBorder="1" applyAlignment="1">
      <alignment vertical="center"/>
    </xf>
    <xf numFmtId="3" fontId="75" fillId="2" borderId="7" xfId="15" applyNumberFormat="1" applyFont="1" applyFill="1" applyBorder="1" applyAlignment="1">
      <alignment vertical="center"/>
    </xf>
    <xf numFmtId="0" fontId="5" fillId="21" borderId="11" xfId="1" applyFont="1" applyFill="1" applyBorder="1" applyAlignment="1">
      <alignment vertical="center"/>
    </xf>
    <xf numFmtId="3" fontId="5" fillId="21" borderId="11" xfId="1" applyNumberFormat="1" applyFont="1" applyFill="1" applyBorder="1" applyAlignment="1">
      <alignment vertical="center"/>
    </xf>
    <xf numFmtId="0" fontId="5" fillId="21" borderId="10" xfId="1" applyFont="1" applyFill="1" applyBorder="1" applyAlignment="1">
      <alignment vertical="center"/>
    </xf>
    <xf numFmtId="3" fontId="65" fillId="21" borderId="10" xfId="1" applyNumberFormat="1" applyFont="1" applyFill="1" applyBorder="1" applyAlignment="1">
      <alignment vertical="center"/>
    </xf>
    <xf numFmtId="3" fontId="57" fillId="0" borderId="0" xfId="15" applyNumberFormat="1" applyFont="1" applyBorder="1" applyAlignment="1">
      <alignment vertical="center"/>
    </xf>
    <xf numFmtId="3" fontId="57" fillId="0" borderId="21" xfId="15" applyNumberFormat="1" applyFont="1" applyBorder="1" applyAlignment="1">
      <alignment vertical="center"/>
    </xf>
    <xf numFmtId="0" fontId="12" fillId="0" borderId="11" xfId="1" applyFont="1" applyBorder="1" applyAlignment="1">
      <alignment horizontal="center" vertical="center"/>
    </xf>
    <xf numFmtId="49" fontId="34" fillId="6" borderId="96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96" xfId="10" applyNumberFormat="1" applyFont="1" applyFill="1" applyBorder="1" applyAlignment="1" applyProtection="1">
      <alignment horizontal="left" vertical="center" wrapText="1"/>
      <protection locked="0"/>
    </xf>
    <xf numFmtId="3" fontId="38" fillId="0" borderId="101" xfId="10" applyNumberFormat="1" applyFont="1" applyFill="1" applyBorder="1" applyAlignment="1" applyProtection="1">
      <alignment horizontal="right" vertical="center"/>
      <protection locked="0"/>
    </xf>
    <xf numFmtId="2" fontId="34" fillId="0" borderId="100" xfId="10" applyNumberFormat="1" applyFont="1" applyFill="1" applyBorder="1" applyAlignment="1" applyProtection="1">
      <alignment horizontal="left" vertical="center" wrapText="1"/>
      <protection locked="0"/>
    </xf>
    <xf numFmtId="49" fontId="38" fillId="7" borderId="61" xfId="10" applyNumberFormat="1" applyFont="1" applyFill="1" applyBorder="1" applyAlignment="1" applyProtection="1">
      <alignment horizontal="center" vertical="center" wrapText="1"/>
      <protection locked="0"/>
    </xf>
    <xf numFmtId="49" fontId="38" fillId="7" borderId="53" xfId="10" applyNumberFormat="1" applyFont="1" applyFill="1" applyBorder="1" applyAlignment="1" applyProtection="1">
      <alignment horizontal="left" vertical="center" wrapText="1"/>
      <protection locked="0"/>
    </xf>
    <xf numFmtId="49" fontId="38" fillId="9" borderId="100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100" xfId="10" applyNumberFormat="1" applyFont="1" applyFill="1" applyBorder="1" applyAlignment="1" applyProtection="1">
      <alignment vertical="center" wrapText="1"/>
      <protection locked="0"/>
    </xf>
    <xf numFmtId="49" fontId="39" fillId="9" borderId="100" xfId="10" applyNumberFormat="1" applyFont="1" applyFill="1" applyBorder="1" applyAlignment="1" applyProtection="1">
      <alignment horizontal="center" vertical="center" wrapText="1"/>
      <protection locked="0"/>
    </xf>
    <xf numFmtId="3" fontId="7" fillId="0" borderId="94" xfId="4" applyNumberFormat="1" applyFont="1" applyFill="1" applyBorder="1" applyAlignment="1">
      <alignment vertical="center"/>
    </xf>
    <xf numFmtId="0" fontId="7" fillId="0" borderId="92" xfId="1" applyFont="1" applyBorder="1" applyAlignment="1">
      <alignment vertical="center" wrapText="1"/>
    </xf>
    <xf numFmtId="0" fontId="21" fillId="0" borderId="10" xfId="1" applyNumberFormat="1" applyFont="1" applyBorder="1" applyAlignment="1">
      <alignment horizontal="center" vertical="center"/>
    </xf>
    <xf numFmtId="3" fontId="24" fillId="0" borderId="10" xfId="1" applyNumberFormat="1" applyFont="1" applyBorder="1" applyAlignment="1">
      <alignment horizontal="right" vertical="center"/>
    </xf>
    <xf numFmtId="3" fontId="24" fillId="0" borderId="91" xfId="1" applyNumberFormat="1" applyFont="1" applyBorder="1" applyAlignment="1">
      <alignment horizontal="right" vertical="center"/>
    </xf>
    <xf numFmtId="3" fontId="21" fillId="0" borderId="10" xfId="1" applyNumberFormat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left" vertical="center" wrapText="1"/>
    </xf>
    <xf numFmtId="0" fontId="35" fillId="0" borderId="0" xfId="10" applyNumberFormat="1" applyFont="1" applyFill="1" applyBorder="1" applyAlignment="1" applyProtection="1">
      <alignment horizontal="center" vertical="center" wrapText="1"/>
      <protection locked="0"/>
    </xf>
    <xf numFmtId="0" fontId="35" fillId="0" borderId="0" xfId="10" applyNumberFormat="1" applyFont="1" applyFill="1" applyBorder="1" applyAlignment="1" applyProtection="1">
      <alignment horizontal="center" vertical="center"/>
      <protection locked="0"/>
    </xf>
    <xf numFmtId="49" fontId="34" fillId="0" borderId="54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54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0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55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100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97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98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54" xfId="0" applyBorder="1" applyAlignment="1">
      <alignment vertical="center" wrapText="1"/>
    </xf>
    <xf numFmtId="0" fontId="0" fillId="0" borderId="100" xfId="0" applyBorder="1" applyAlignment="1">
      <alignment vertical="center" wrapText="1"/>
    </xf>
    <xf numFmtId="49" fontId="34" fillId="6" borderId="53" xfId="10" applyNumberFormat="1" applyFont="1" applyFill="1" applyBorder="1" applyAlignment="1" applyProtection="1">
      <alignment horizontal="left" vertical="center" wrapText="1"/>
      <protection locked="0"/>
    </xf>
    <xf numFmtId="49" fontId="34" fillId="0" borderId="100" xfId="10" applyNumberFormat="1" applyFont="1" applyFill="1" applyBorder="1" applyAlignment="1" applyProtection="1">
      <alignment horizontal="left" vertical="center" wrapText="1"/>
      <protection locked="0"/>
    </xf>
    <xf numFmtId="49" fontId="34" fillId="0" borderId="98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53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61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100" xfId="10" applyNumberFormat="1" applyFont="1" applyFill="1" applyBorder="1" applyAlignment="1" applyProtection="1">
      <alignment horizontal="center" vertical="center" wrapText="1"/>
      <protection locked="0"/>
    </xf>
    <xf numFmtId="0" fontId="34" fillId="0" borderId="54" xfId="10" applyNumberFormat="1" applyFont="1" applyFill="1" applyBorder="1" applyAlignment="1" applyProtection="1">
      <alignment horizontal="left" vertical="center"/>
      <protection locked="0"/>
    </xf>
    <xf numFmtId="49" fontId="34" fillId="10" borderId="54" xfId="10" applyNumberFormat="1" applyFont="1" applyFill="1" applyBorder="1" applyAlignment="1" applyProtection="1">
      <alignment horizontal="center" vertical="center" wrapText="1"/>
      <protection locked="0"/>
    </xf>
    <xf numFmtId="49" fontId="38" fillId="6" borderId="106" xfId="10" applyNumberFormat="1" applyFont="1" applyFill="1" applyBorder="1" applyAlignment="1" applyProtection="1">
      <alignment horizontal="center" vertical="center" wrapText="1"/>
      <protection locked="0"/>
    </xf>
    <xf numFmtId="49" fontId="38" fillId="6" borderId="107" xfId="10" applyNumberFormat="1" applyFont="1" applyFill="1" applyBorder="1" applyAlignment="1" applyProtection="1">
      <alignment horizontal="center" vertical="center" wrapText="1"/>
      <protection locked="0"/>
    </xf>
    <xf numFmtId="49" fontId="38" fillId="6" borderId="108" xfId="10" applyNumberFormat="1" applyFont="1" applyFill="1" applyBorder="1" applyAlignment="1" applyProtection="1">
      <alignment horizontal="center" vertical="center" wrapText="1"/>
      <protection locked="0"/>
    </xf>
    <xf numFmtId="49" fontId="38" fillId="6" borderId="109" xfId="10" applyNumberFormat="1" applyFont="1" applyFill="1" applyBorder="1" applyAlignment="1" applyProtection="1">
      <alignment horizontal="center" vertical="center" wrapText="1"/>
      <protection locked="0"/>
    </xf>
    <xf numFmtId="49" fontId="38" fillId="6" borderId="110" xfId="10" applyNumberFormat="1" applyFont="1" applyFill="1" applyBorder="1" applyAlignment="1" applyProtection="1">
      <alignment horizontal="center" vertical="center" wrapText="1"/>
      <protection locked="0"/>
    </xf>
    <xf numFmtId="49" fontId="38" fillId="7" borderId="107" xfId="10" applyNumberFormat="1" applyFont="1" applyFill="1" applyBorder="1" applyAlignment="1" applyProtection="1">
      <alignment horizontal="center" vertical="center" wrapText="1"/>
      <protection locked="0"/>
    </xf>
    <xf numFmtId="49" fontId="38" fillId="7" borderId="110" xfId="10" applyNumberFormat="1" applyFont="1" applyFill="1" applyBorder="1" applyAlignment="1" applyProtection="1">
      <alignment horizontal="center" vertical="center" wrapText="1"/>
      <protection locked="0"/>
    </xf>
    <xf numFmtId="49" fontId="38" fillId="7" borderId="110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111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110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110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110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10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114" xfId="10" applyNumberFormat="1" applyFont="1" applyFill="1" applyBorder="1" applyAlignment="1" applyProtection="1">
      <alignment horizontal="center" vertical="center" wrapText="1"/>
      <protection locked="0"/>
    </xf>
    <xf numFmtId="49" fontId="34" fillId="8" borderId="114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09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118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18" xfId="10" applyNumberFormat="1" applyFont="1" applyFill="1" applyBorder="1" applyAlignment="1" applyProtection="1">
      <alignment horizontal="left" vertical="center" wrapText="1"/>
      <protection locked="0"/>
    </xf>
    <xf numFmtId="3" fontId="34" fillId="0" borderId="119" xfId="10" applyNumberFormat="1" applyFont="1" applyFill="1" applyBorder="1" applyAlignment="1" applyProtection="1">
      <alignment horizontal="right" vertical="center"/>
      <protection locked="0"/>
    </xf>
    <xf numFmtId="3" fontId="34" fillId="6" borderId="120" xfId="10" applyNumberFormat="1" applyFont="1" applyFill="1" applyBorder="1" applyAlignment="1" applyProtection="1">
      <alignment horizontal="right" vertical="center" wrapText="1"/>
      <protection locked="0"/>
    </xf>
    <xf numFmtId="49" fontId="34" fillId="6" borderId="108" xfId="10" applyNumberFormat="1" applyFont="1" applyFill="1" applyBorder="1" applyAlignment="1" applyProtection="1">
      <alignment horizontal="center" vertical="center" wrapText="1"/>
      <protection locked="0"/>
    </xf>
    <xf numFmtId="0" fontId="42" fillId="0" borderId="121" xfId="0" applyFont="1" applyBorder="1" applyAlignment="1">
      <alignment horizontal="left" vertical="center" wrapText="1"/>
    </xf>
    <xf numFmtId="49" fontId="34" fillId="0" borderId="112" xfId="10" applyNumberFormat="1" applyFont="1" applyFill="1" applyBorder="1" applyAlignment="1" applyProtection="1">
      <alignment vertical="center" wrapText="1"/>
      <protection locked="0"/>
    </xf>
    <xf numFmtId="49" fontId="34" fillId="0" borderId="113" xfId="10" applyNumberFormat="1" applyFont="1" applyFill="1" applyBorder="1" applyAlignment="1" applyProtection="1">
      <alignment vertical="center" wrapText="1"/>
      <protection locked="0"/>
    </xf>
    <xf numFmtId="49" fontId="34" fillId="0" borderId="114" xfId="10" applyNumberFormat="1" applyFont="1" applyFill="1" applyBorder="1" applyAlignment="1" applyProtection="1">
      <alignment vertical="center" wrapText="1"/>
      <protection locked="0"/>
    </xf>
    <xf numFmtId="49" fontId="34" fillId="0" borderId="97" xfId="10" applyNumberFormat="1" applyFont="1" applyFill="1" applyBorder="1" applyAlignment="1" applyProtection="1">
      <alignment vertical="center" wrapText="1"/>
      <protection locked="0"/>
    </xf>
    <xf numFmtId="49" fontId="34" fillId="0" borderId="97" xfId="10" applyNumberFormat="1" applyFont="1" applyFill="1" applyBorder="1" applyAlignment="1" applyProtection="1">
      <alignment horizontal="center" vertical="center" wrapText="1"/>
      <protection locked="0"/>
    </xf>
    <xf numFmtId="49" fontId="34" fillId="12" borderId="114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22" xfId="10" applyNumberFormat="1" applyFont="1" applyFill="1" applyBorder="1" applyAlignment="1" applyProtection="1">
      <alignment horizontal="left" vertical="center" wrapText="1"/>
      <protection locked="0"/>
    </xf>
    <xf numFmtId="49" fontId="34" fillId="0" borderId="114" xfId="10" applyNumberFormat="1" applyFont="1" applyFill="1" applyBorder="1" applyAlignment="1" applyProtection="1">
      <alignment horizontal="center" vertical="center" wrapText="1"/>
      <protection locked="0"/>
    </xf>
    <xf numFmtId="0" fontId="34" fillId="0" borderId="123" xfId="10" applyNumberFormat="1" applyFont="1" applyFill="1" applyBorder="1" applyAlignment="1" applyProtection="1">
      <alignment horizontal="left" vertical="center"/>
      <protection locked="0"/>
    </xf>
    <xf numFmtId="49" fontId="34" fillId="0" borderId="110" xfId="10" applyNumberFormat="1" applyFont="1" applyFill="1" applyBorder="1" applyAlignment="1" applyProtection="1">
      <alignment horizontal="center" vertical="center" wrapText="1"/>
      <protection locked="0"/>
    </xf>
    <xf numFmtId="0" fontId="42" fillId="0" borderId="110" xfId="0" applyFont="1" applyBorder="1" applyAlignment="1">
      <alignment vertical="center" wrapText="1"/>
    </xf>
    <xf numFmtId="0" fontId="0" fillId="0" borderId="97" xfId="0" applyBorder="1" applyAlignment="1">
      <alignment vertical="center" wrapText="1"/>
    </xf>
    <xf numFmtId="3" fontId="34" fillId="0" borderId="101" xfId="10" applyNumberFormat="1" applyFont="1" applyFill="1" applyBorder="1" applyAlignment="1" applyProtection="1">
      <alignment horizontal="right" vertical="center"/>
      <protection locked="0"/>
    </xf>
    <xf numFmtId="0" fontId="42" fillId="0" borderId="108" xfId="0" applyFont="1" applyBorder="1" applyAlignment="1">
      <alignment horizontal="left" vertical="center" wrapText="1"/>
    </xf>
    <xf numFmtId="49" fontId="39" fillId="8" borderId="109" xfId="10" applyNumberFormat="1" applyFont="1" applyFill="1" applyBorder="1" applyAlignment="1" applyProtection="1">
      <alignment horizontal="center" vertical="center" wrapText="1"/>
      <protection locked="0"/>
    </xf>
    <xf numFmtId="3" fontId="39" fillId="9" borderId="119" xfId="10" applyNumberFormat="1" applyFont="1" applyFill="1" applyBorder="1" applyAlignment="1" applyProtection="1">
      <alignment horizontal="right" vertical="center"/>
      <protection locked="0"/>
    </xf>
    <xf numFmtId="3" fontId="34" fillId="11" borderId="101" xfId="10" applyNumberFormat="1" applyFont="1" applyFill="1" applyBorder="1" applyAlignment="1" applyProtection="1">
      <alignment horizontal="right" vertical="center"/>
      <protection locked="0"/>
    </xf>
    <xf numFmtId="49" fontId="34" fillId="10" borderId="96" xfId="10" applyNumberFormat="1" applyFont="1" applyFill="1" applyBorder="1" applyAlignment="1" applyProtection="1">
      <alignment horizontal="center" vertical="center" wrapText="1"/>
      <protection locked="0"/>
    </xf>
    <xf numFmtId="49" fontId="34" fillId="10" borderId="96" xfId="10" applyNumberFormat="1" applyFont="1" applyFill="1" applyBorder="1" applyAlignment="1" applyProtection="1">
      <alignment horizontal="left" vertical="center" wrapText="1"/>
      <protection locked="0"/>
    </xf>
    <xf numFmtId="49" fontId="34" fillId="10" borderId="109" xfId="10" applyNumberFormat="1" applyFont="1" applyFill="1" applyBorder="1" applyAlignment="1" applyProtection="1">
      <alignment horizontal="left" vertical="center" wrapText="1"/>
      <protection locked="0"/>
    </xf>
    <xf numFmtId="49" fontId="34" fillId="10" borderId="110" xfId="10" applyNumberFormat="1" applyFont="1" applyFill="1" applyBorder="1" applyAlignment="1" applyProtection="1">
      <alignment horizontal="center" vertical="center" wrapText="1"/>
      <protection locked="0"/>
    </xf>
    <xf numFmtId="49" fontId="34" fillId="10" borderId="110" xfId="10" applyNumberFormat="1" applyFont="1" applyFill="1" applyBorder="1" applyAlignment="1" applyProtection="1">
      <alignment horizontal="left" vertical="center" wrapText="1"/>
      <protection locked="0"/>
    </xf>
    <xf numFmtId="3" fontId="34" fillId="0" borderId="99" xfId="10" applyNumberFormat="1" applyFont="1" applyFill="1" applyBorder="1" applyAlignment="1" applyProtection="1">
      <alignment horizontal="right" vertical="center"/>
      <protection locked="0"/>
    </xf>
    <xf numFmtId="3" fontId="34" fillId="0" borderId="121" xfId="10" applyNumberFormat="1" applyFont="1" applyFill="1" applyBorder="1" applyAlignment="1" applyProtection="1">
      <alignment horizontal="right" vertical="center"/>
      <protection locked="0"/>
    </xf>
    <xf numFmtId="49" fontId="34" fillId="0" borderId="101" xfId="10" applyNumberFormat="1" applyFont="1" applyFill="1" applyBorder="1" applyAlignment="1" applyProtection="1">
      <alignment horizontal="center" vertical="center" wrapText="1"/>
      <protection locked="0"/>
    </xf>
    <xf numFmtId="49" fontId="40" fillId="6" borderId="108" xfId="10" applyNumberFormat="1" applyFont="1" applyFill="1" applyBorder="1" applyAlignment="1" applyProtection="1">
      <alignment horizontal="center" vertical="center" wrapText="1"/>
      <protection locked="0"/>
    </xf>
    <xf numFmtId="3" fontId="34" fillId="0" borderId="125" xfId="10" applyNumberFormat="1" applyFont="1" applyFill="1" applyBorder="1" applyAlignment="1" applyProtection="1">
      <alignment horizontal="right" vertical="center"/>
      <protection locked="0"/>
    </xf>
    <xf numFmtId="49" fontId="39" fillId="9" borderId="110" xfId="10" applyNumberFormat="1" applyFont="1" applyFill="1" applyBorder="1" applyAlignment="1" applyProtection="1">
      <alignment horizontal="center" vertical="center" wrapText="1"/>
      <protection locked="0"/>
    </xf>
    <xf numFmtId="49" fontId="39" fillId="9" borderId="110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119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17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126" xfId="10" applyNumberFormat="1" applyFont="1" applyFill="1" applyBorder="1" applyAlignment="1" applyProtection="1">
      <alignment horizontal="center" vertical="center" wrapText="1"/>
      <protection locked="0"/>
    </xf>
    <xf numFmtId="3" fontId="38" fillId="0" borderId="121" xfId="10" applyNumberFormat="1" applyFont="1" applyFill="1" applyBorder="1" applyAlignment="1" applyProtection="1">
      <alignment horizontal="right" vertical="center"/>
      <protection locked="0"/>
    </xf>
    <xf numFmtId="49" fontId="38" fillId="7" borderId="127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24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09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01" xfId="10" applyNumberFormat="1" applyFont="1" applyFill="1" applyBorder="1" applyAlignment="1" applyProtection="1">
      <alignment horizontal="center" vertical="center" wrapText="1"/>
      <protection locked="0"/>
    </xf>
    <xf numFmtId="49" fontId="38" fillId="7" borderId="134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111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35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35" xfId="10" applyNumberFormat="1" applyFont="1" applyFill="1" applyBorder="1" applyAlignment="1" applyProtection="1">
      <alignment horizontal="left" vertical="center" wrapText="1"/>
      <protection locked="0"/>
    </xf>
    <xf numFmtId="49" fontId="38" fillId="7" borderId="126" xfId="10" applyNumberFormat="1" applyFont="1" applyFill="1" applyBorder="1" applyAlignment="1" applyProtection="1">
      <alignment horizontal="center" vertical="center" wrapText="1"/>
      <protection locked="0"/>
    </xf>
    <xf numFmtId="49" fontId="38" fillId="0" borderId="136" xfId="10" applyNumberFormat="1" applyFont="1" applyFill="1" applyBorder="1" applyAlignment="1" applyProtection="1">
      <alignment horizontal="center" vertical="center" wrapText="1"/>
      <protection locked="0"/>
    </xf>
    <xf numFmtId="49" fontId="38" fillId="0" borderId="137" xfId="10" applyNumberFormat="1" applyFont="1" applyFill="1" applyBorder="1" applyAlignment="1" applyProtection="1">
      <alignment horizontal="center" vertical="center" wrapText="1"/>
      <protection locked="0"/>
    </xf>
    <xf numFmtId="49" fontId="38" fillId="9" borderId="99" xfId="10" applyNumberFormat="1" applyFont="1" applyFill="1" applyBorder="1" applyAlignment="1" applyProtection="1">
      <alignment horizontal="center" vertical="center" wrapText="1"/>
      <protection locked="0"/>
    </xf>
    <xf numFmtId="49" fontId="38" fillId="9" borderId="96" xfId="10" applyNumberFormat="1" applyFont="1" applyFill="1" applyBorder="1" applyAlignment="1" applyProtection="1">
      <alignment horizontal="left" vertical="center" wrapText="1"/>
      <protection locked="0"/>
    </xf>
    <xf numFmtId="3" fontId="38" fillId="9" borderId="101" xfId="10" applyNumberFormat="1" applyFont="1" applyFill="1" applyBorder="1" applyAlignment="1" applyProtection="1">
      <alignment horizontal="right" vertical="center"/>
      <protection locked="0"/>
    </xf>
    <xf numFmtId="49" fontId="38" fillId="0" borderId="131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109" xfId="10" applyNumberFormat="1" applyFont="1" applyFill="1" applyBorder="1" applyAlignment="1" applyProtection="1">
      <alignment horizontal="center" vertical="center" wrapText="1"/>
      <protection locked="0"/>
    </xf>
    <xf numFmtId="49" fontId="38" fillId="0" borderId="128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139" xfId="10" applyNumberFormat="1" applyFont="1" applyFill="1" applyBorder="1" applyAlignment="1" applyProtection="1">
      <alignment horizontal="center" vertical="center" wrapText="1"/>
      <protection locked="0"/>
    </xf>
    <xf numFmtId="3" fontId="34" fillId="0" borderId="126" xfId="10" applyNumberFormat="1" applyFont="1" applyFill="1" applyBorder="1" applyAlignment="1" applyProtection="1">
      <alignment horizontal="right" vertical="center"/>
      <protection locked="0"/>
    </xf>
    <xf numFmtId="3" fontId="34" fillId="0" borderId="143" xfId="10" applyNumberFormat="1" applyFont="1" applyFill="1" applyBorder="1" applyAlignment="1" applyProtection="1">
      <alignment vertical="center"/>
      <protection locked="0"/>
    </xf>
    <xf numFmtId="49" fontId="34" fillId="0" borderId="144" xfId="10" applyNumberFormat="1" applyFont="1" applyFill="1" applyBorder="1" applyAlignment="1" applyProtection="1">
      <alignment horizontal="center" vertical="center" wrapText="1"/>
      <protection locked="0"/>
    </xf>
    <xf numFmtId="3" fontId="34" fillId="0" borderId="120" xfId="10" applyNumberFormat="1" applyFont="1" applyFill="1" applyBorder="1" applyAlignment="1" applyProtection="1">
      <alignment vertical="center"/>
      <protection locked="0"/>
    </xf>
    <xf numFmtId="49" fontId="39" fillId="8" borderId="96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96" xfId="10" applyNumberFormat="1" applyFont="1" applyFill="1" applyBorder="1" applyAlignment="1" applyProtection="1">
      <alignment horizontal="left" vertical="center" wrapText="1"/>
      <protection locked="0"/>
    </xf>
    <xf numFmtId="3" fontId="39" fillId="9" borderId="101" xfId="10" applyNumberFormat="1" applyFont="1" applyFill="1" applyBorder="1" applyAlignment="1" applyProtection="1">
      <alignment horizontal="right" vertical="center"/>
      <protection locked="0"/>
    </xf>
    <xf numFmtId="3" fontId="34" fillId="0" borderId="124" xfId="10" applyNumberFormat="1" applyFont="1" applyFill="1" applyBorder="1" applyAlignment="1" applyProtection="1">
      <alignment horizontal="right" vertical="center"/>
      <protection locked="0"/>
    </xf>
    <xf numFmtId="3" fontId="34" fillId="6" borderId="121" xfId="10" applyNumberFormat="1" applyFont="1" applyFill="1" applyBorder="1" applyAlignment="1" applyProtection="1">
      <alignment horizontal="right" vertical="center" wrapText="1"/>
      <protection locked="0"/>
    </xf>
    <xf numFmtId="49" fontId="34" fillId="6" borderId="112" xfId="10" applyNumberFormat="1" applyFont="1" applyFill="1" applyBorder="1" applyAlignment="1" applyProtection="1">
      <alignment horizontal="center" vertical="center" wrapText="1"/>
      <protection locked="0"/>
    </xf>
    <xf numFmtId="49" fontId="38" fillId="10" borderId="111" xfId="10" applyNumberFormat="1" applyFont="1" applyFill="1" applyBorder="1" applyAlignment="1" applyProtection="1">
      <alignment horizontal="center" vertical="center" wrapText="1"/>
      <protection locked="0"/>
    </xf>
    <xf numFmtId="49" fontId="38" fillId="14" borderId="108" xfId="10" applyNumberFormat="1" applyFont="1" applyFill="1" applyBorder="1" applyAlignment="1" applyProtection="1">
      <alignment horizontal="center" vertical="center" wrapText="1"/>
      <protection locked="0"/>
    </xf>
    <xf numFmtId="49" fontId="38" fillId="10" borderId="108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45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109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113" xfId="10" applyNumberFormat="1" applyFont="1" applyFill="1" applyBorder="1" applyAlignment="1" applyProtection="1">
      <alignment horizontal="center" vertical="center" wrapText="1"/>
      <protection locked="0"/>
    </xf>
    <xf numFmtId="49" fontId="39" fillId="0" borderId="93" xfId="10" applyNumberFormat="1" applyFont="1" applyFill="1" applyBorder="1" applyAlignment="1" applyProtection="1">
      <alignment horizontal="center" vertical="center" wrapText="1"/>
      <protection locked="0"/>
    </xf>
    <xf numFmtId="49" fontId="39" fillId="0" borderId="133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97" xfId="10" applyNumberFormat="1" applyFont="1" applyFill="1" applyBorder="1" applyAlignment="1" applyProtection="1">
      <alignment horizontal="center" vertical="center" wrapText="1"/>
      <protection locked="0"/>
    </xf>
    <xf numFmtId="49" fontId="38" fillId="8" borderId="109" xfId="10" applyNumberFormat="1" applyFont="1" applyFill="1" applyBorder="1" applyAlignment="1" applyProtection="1">
      <alignment horizontal="left" vertical="center" wrapText="1"/>
      <protection locked="0"/>
    </xf>
    <xf numFmtId="49" fontId="38" fillId="8" borderId="110" xfId="10" applyNumberFormat="1" applyFont="1" applyFill="1" applyBorder="1" applyAlignment="1" applyProtection="1">
      <alignment horizontal="center" vertical="center" wrapText="1"/>
      <protection locked="0"/>
    </xf>
    <xf numFmtId="49" fontId="38" fillId="8" borderId="110" xfId="10" applyNumberFormat="1" applyFont="1" applyFill="1" applyBorder="1" applyAlignment="1" applyProtection="1">
      <alignment horizontal="left" vertical="center" wrapText="1"/>
      <protection locked="0"/>
    </xf>
    <xf numFmtId="49" fontId="34" fillId="0" borderId="130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113" xfId="10" applyNumberFormat="1" applyFont="1" applyFill="1" applyBorder="1" applyAlignment="1" applyProtection="1">
      <alignment horizontal="left" vertical="center" wrapText="1"/>
      <protection locked="0"/>
    </xf>
    <xf numFmtId="49" fontId="34" fillId="8" borderId="110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16" xfId="10" applyNumberFormat="1" applyFont="1" applyFill="1" applyBorder="1" applyAlignment="1" applyProtection="1">
      <alignment horizontal="left" vertical="center" wrapText="1"/>
      <protection locked="0"/>
    </xf>
    <xf numFmtId="49" fontId="38" fillId="0" borderId="111" xfId="10" applyNumberFormat="1" applyFont="1" applyFill="1" applyBorder="1" applyAlignment="1" applyProtection="1">
      <alignment horizontal="center" vertical="center" wrapText="1"/>
      <protection locked="0"/>
    </xf>
    <xf numFmtId="49" fontId="38" fillId="0" borderId="108" xfId="10" applyNumberFormat="1" applyFont="1" applyFill="1" applyBorder="1" applyAlignment="1" applyProtection="1">
      <alignment horizontal="center" vertical="center" wrapText="1"/>
      <protection locked="0"/>
    </xf>
    <xf numFmtId="49" fontId="39" fillId="9" borderId="109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29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19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146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46" xfId="10" applyNumberFormat="1" applyFont="1" applyFill="1" applyBorder="1" applyAlignment="1" applyProtection="1">
      <alignment horizontal="left" vertical="center" wrapText="1"/>
      <protection locked="0"/>
    </xf>
    <xf numFmtId="49" fontId="42" fillId="10" borderId="110" xfId="10" applyNumberFormat="1" applyFont="1" applyFill="1" applyBorder="1" applyAlignment="1" applyProtection="1">
      <alignment horizontal="center" vertical="center" wrapText="1"/>
      <protection locked="0"/>
    </xf>
    <xf numFmtId="3" fontId="34" fillId="0" borderId="119" xfId="10" applyNumberFormat="1" applyFont="1" applyFill="1" applyBorder="1" applyAlignment="1" applyProtection="1">
      <alignment vertical="center"/>
      <protection locked="0"/>
    </xf>
    <xf numFmtId="3" fontId="34" fillId="0" borderId="101" xfId="10" applyNumberFormat="1" applyFont="1" applyFill="1" applyBorder="1" applyAlignment="1" applyProtection="1">
      <alignment vertical="center"/>
      <protection locked="0"/>
    </xf>
    <xf numFmtId="49" fontId="38" fillId="15" borderId="107" xfId="10" applyNumberFormat="1" applyFont="1" applyFill="1" applyBorder="1" applyAlignment="1" applyProtection="1">
      <alignment horizontal="center" vertical="center" wrapText="1"/>
      <protection locked="0"/>
    </xf>
    <xf numFmtId="49" fontId="38" fillId="15" borderId="110" xfId="10" applyNumberFormat="1" applyFont="1" applyFill="1" applyBorder="1" applyAlignment="1" applyProtection="1">
      <alignment horizontal="center" vertical="center" wrapText="1"/>
      <protection locked="0"/>
    </xf>
    <xf numFmtId="49" fontId="38" fillId="15" borderId="110" xfId="10" applyNumberFormat="1" applyFont="1" applyFill="1" applyBorder="1" applyAlignment="1" applyProtection="1">
      <alignment horizontal="left" vertical="center" wrapText="1"/>
      <protection locked="0"/>
    </xf>
    <xf numFmtId="49" fontId="34" fillId="0" borderId="110" xfId="10" applyNumberFormat="1" applyFont="1" applyFill="1" applyBorder="1" applyAlignment="1" applyProtection="1">
      <alignment horizontal="left" vertical="center" wrapText="1"/>
      <protection locked="0"/>
    </xf>
    <xf numFmtId="49" fontId="34" fillId="0" borderId="147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31" xfId="10" applyNumberFormat="1" applyFont="1" applyFill="1" applyBorder="1" applyAlignment="1" applyProtection="1">
      <alignment vertical="center" wrapText="1"/>
      <protection locked="0"/>
    </xf>
    <xf numFmtId="3" fontId="38" fillId="6" borderId="121" xfId="10" applyNumberFormat="1" applyFont="1" applyFill="1" applyBorder="1" applyAlignment="1" applyProtection="1">
      <alignment horizontal="right" vertical="center" wrapText="1"/>
      <protection locked="0"/>
    </xf>
    <xf numFmtId="49" fontId="42" fillId="0" borderId="110" xfId="0" applyNumberFormat="1" applyFont="1" applyBorder="1" applyAlignment="1">
      <alignment horizontal="left" vertical="center" wrapText="1"/>
    </xf>
    <xf numFmtId="49" fontId="42" fillId="0" borderId="110" xfId="0" applyNumberFormat="1" applyFont="1" applyBorder="1" applyAlignment="1">
      <alignment vertical="center" wrapText="1"/>
    </xf>
    <xf numFmtId="49" fontId="34" fillId="16" borderId="114" xfId="10" applyNumberFormat="1" applyFont="1" applyFill="1" applyBorder="1" applyAlignment="1" applyProtection="1">
      <alignment horizontal="center" vertical="center" wrapText="1"/>
      <protection locked="0"/>
    </xf>
    <xf numFmtId="49" fontId="34" fillId="10" borderId="114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21" xfId="10" applyNumberFormat="1" applyFont="1" applyFill="1" applyBorder="1" applyAlignment="1" applyProtection="1">
      <alignment horizontal="center" vertical="center" wrapText="1"/>
      <protection locked="0"/>
    </xf>
    <xf numFmtId="49" fontId="42" fillId="0" borderId="53" xfId="0" applyNumberFormat="1" applyFont="1" applyBorder="1" applyAlignment="1">
      <alignment vertical="center" wrapText="1"/>
    </xf>
    <xf numFmtId="49" fontId="38" fillId="7" borderId="118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109" xfId="10" applyNumberFormat="1" applyFont="1" applyFill="1" applyBorder="1" applyAlignment="1" applyProtection="1">
      <alignment horizontal="left" vertical="center" wrapText="1"/>
      <protection locked="0"/>
    </xf>
    <xf numFmtId="0" fontId="11" fillId="3" borderId="16" xfId="1" applyFont="1" applyFill="1" applyBorder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49" fontId="11" fillId="3" borderId="7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55" fillId="0" borderId="0" xfId="15" applyFont="1" applyBorder="1" applyAlignment="1">
      <alignment horizontal="center" vertical="center" wrapText="1"/>
    </xf>
    <xf numFmtId="0" fontId="12" fillId="0" borderId="21" xfId="15" quotePrefix="1" applyFont="1" applyFill="1" applyBorder="1" applyAlignment="1">
      <alignment horizontal="center" vertical="center" wrapText="1"/>
    </xf>
    <xf numFmtId="0" fontId="7" fillId="0" borderId="22" xfId="15" quotePrefix="1" applyFont="1" applyBorder="1" applyAlignment="1">
      <alignment horizontal="center" vertical="center" wrapText="1"/>
    </xf>
    <xf numFmtId="49" fontId="9" fillId="0" borderId="29" xfId="15" applyNumberFormat="1" applyFont="1" applyBorder="1" applyAlignment="1">
      <alignment horizontal="center" vertical="center" wrapText="1"/>
    </xf>
    <xf numFmtId="0" fontId="56" fillId="0" borderId="21" xfId="15" applyFont="1" applyBorder="1" applyAlignment="1">
      <alignment horizontal="center" vertical="center" wrapText="1"/>
    </xf>
    <xf numFmtId="0" fontId="8" fillId="0" borderId="22" xfId="15" applyFont="1" applyFill="1" applyBorder="1" applyAlignment="1">
      <alignment horizontal="center" vertical="center" wrapText="1"/>
    </xf>
    <xf numFmtId="0" fontId="62" fillId="0" borderId="29" xfId="15" applyFont="1" applyBorder="1" applyAlignment="1">
      <alignment horizontal="center" vertical="center" wrapText="1"/>
    </xf>
    <xf numFmtId="0" fontId="63" fillId="11" borderId="21" xfId="1" applyFont="1" applyFill="1" applyBorder="1" applyAlignment="1">
      <alignment horizontal="center" vertical="center" wrapText="1"/>
    </xf>
    <xf numFmtId="0" fontId="69" fillId="21" borderId="95" xfId="1" applyFont="1" applyFill="1" applyBorder="1" applyAlignment="1">
      <alignment horizontal="left" vertical="center" wrapText="1"/>
    </xf>
    <xf numFmtId="0" fontId="69" fillId="11" borderId="29" xfId="1" applyFont="1" applyFill="1" applyBorder="1" applyAlignment="1">
      <alignment horizontal="center" vertical="center" wrapText="1"/>
    </xf>
    <xf numFmtId="0" fontId="69" fillId="11" borderId="8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9" fillId="0" borderId="0" xfId="1" applyFont="1" applyBorder="1" applyAlignment="1">
      <alignment horizontal="center" vertical="center" wrapText="1"/>
    </xf>
    <xf numFmtId="0" fontId="15" fillId="0" borderId="0" xfId="1" applyFont="1" applyAlignment="1">
      <alignment horizontal="right" vertical="center" wrapText="1"/>
    </xf>
    <xf numFmtId="0" fontId="12" fillId="4" borderId="53" xfId="1" applyFont="1" applyFill="1" applyBorder="1" applyAlignment="1">
      <alignment horizontal="center" vertical="center"/>
    </xf>
    <xf numFmtId="0" fontId="15" fillId="0" borderId="0" xfId="1" applyFont="1" applyAlignment="1">
      <alignment vertical="center" wrapText="1"/>
    </xf>
    <xf numFmtId="0" fontId="8" fillId="0" borderId="0" xfId="1" applyFont="1" applyAlignment="1">
      <alignment horizontal="right"/>
    </xf>
    <xf numFmtId="0" fontId="7" fillId="11" borderId="38" xfId="1" applyNumberFormat="1" applyFont="1" applyFill="1" applyBorder="1" applyAlignment="1">
      <alignment horizontal="center" vertical="center"/>
    </xf>
    <xf numFmtId="3" fontId="7" fillId="11" borderId="38" xfId="1" applyNumberFormat="1" applyFont="1" applyFill="1" applyBorder="1" applyAlignment="1">
      <alignment horizontal="right" vertical="center" wrapText="1"/>
    </xf>
    <xf numFmtId="3" fontId="42" fillId="11" borderId="86" xfId="1" applyNumberFormat="1" applyFont="1" applyFill="1" applyBorder="1" applyAlignment="1">
      <alignment horizontal="left" vertical="center" wrapText="1"/>
    </xf>
    <xf numFmtId="0" fontId="7" fillId="11" borderId="53" xfId="1" applyNumberFormat="1" applyFont="1" applyFill="1" applyBorder="1" applyAlignment="1">
      <alignment horizontal="center" vertical="center"/>
    </xf>
    <xf numFmtId="3" fontId="7" fillId="11" borderId="53" xfId="1" applyNumberFormat="1" applyFont="1" applyFill="1" applyBorder="1" applyAlignment="1">
      <alignment horizontal="right" vertical="center" wrapText="1"/>
    </xf>
    <xf numFmtId="3" fontId="42" fillId="11" borderId="80" xfId="1" applyNumberFormat="1" applyFont="1" applyFill="1" applyBorder="1" applyAlignment="1">
      <alignment horizontal="left" vertical="center" wrapText="1"/>
    </xf>
    <xf numFmtId="0" fontId="7" fillId="11" borderId="58" xfId="1" applyNumberFormat="1" applyFont="1" applyFill="1" applyBorder="1" applyAlignment="1">
      <alignment horizontal="center" vertical="center"/>
    </xf>
    <xf numFmtId="3" fontId="7" fillId="11" borderId="58" xfId="1" applyNumberFormat="1" applyFont="1" applyFill="1" applyBorder="1" applyAlignment="1">
      <alignment horizontal="right" vertical="center" wrapText="1"/>
    </xf>
    <xf numFmtId="3" fontId="42" fillId="11" borderId="83" xfId="1" applyNumberFormat="1" applyFont="1" applyFill="1" applyBorder="1" applyAlignment="1">
      <alignment horizontal="left" vertical="center" wrapText="1"/>
    </xf>
    <xf numFmtId="0" fontId="7" fillId="11" borderId="152" xfId="1" applyNumberFormat="1" applyFont="1" applyFill="1" applyBorder="1" applyAlignment="1">
      <alignment horizontal="center" vertical="center"/>
    </xf>
    <xf numFmtId="3" fontId="7" fillId="11" borderId="152" xfId="1" applyNumberFormat="1" applyFont="1" applyFill="1" applyBorder="1" applyAlignment="1">
      <alignment horizontal="right" vertical="center" wrapText="1"/>
    </xf>
    <xf numFmtId="3" fontId="42" fillId="11" borderId="153" xfId="1" applyNumberFormat="1" applyFont="1" applyFill="1" applyBorder="1" applyAlignment="1">
      <alignment horizontal="left" vertical="center" wrapText="1"/>
    </xf>
    <xf numFmtId="0" fontId="12" fillId="11" borderId="84" xfId="1" applyFont="1" applyFill="1" applyBorder="1" applyAlignment="1">
      <alignment horizontal="center" vertical="center"/>
    </xf>
    <xf numFmtId="3" fontId="12" fillId="11" borderId="38" xfId="1" applyNumberFormat="1" applyFont="1" applyFill="1" applyBorder="1" applyAlignment="1">
      <alignment horizontal="right" vertical="center"/>
    </xf>
    <xf numFmtId="0" fontId="12" fillId="11" borderId="154" xfId="1" applyFont="1" applyFill="1" applyBorder="1" applyAlignment="1">
      <alignment horizontal="center" vertical="center"/>
    </xf>
    <xf numFmtId="3" fontId="12" fillId="11" borderId="53" xfId="1" applyNumberFormat="1" applyFont="1" applyFill="1" applyBorder="1" applyAlignment="1">
      <alignment horizontal="right" vertical="center"/>
    </xf>
    <xf numFmtId="0" fontId="12" fillId="11" borderId="155" xfId="1" applyFont="1" applyFill="1" applyBorder="1" applyAlignment="1">
      <alignment horizontal="center" vertical="center"/>
    </xf>
    <xf numFmtId="0" fontId="7" fillId="11" borderId="152" xfId="1" applyFont="1" applyFill="1" applyBorder="1" applyAlignment="1">
      <alignment horizontal="left" vertical="center" wrapText="1"/>
    </xf>
    <xf numFmtId="3" fontId="12" fillId="11" borderId="152" xfId="1" applyNumberFormat="1" applyFont="1" applyFill="1" applyBorder="1" applyAlignment="1">
      <alignment horizontal="right" vertical="center"/>
    </xf>
    <xf numFmtId="0" fontId="74" fillId="0" borderId="77" xfId="4" applyFont="1" applyBorder="1" applyAlignment="1">
      <alignment horizontal="center" vertical="center"/>
    </xf>
    <xf numFmtId="0" fontId="42" fillId="0" borderId="101" xfId="4" applyFont="1" applyBorder="1" applyAlignment="1">
      <alignment vertical="center" wrapText="1"/>
    </xf>
    <xf numFmtId="0" fontId="42" fillId="0" borderId="101" xfId="4" applyNumberFormat="1" applyFont="1" applyBorder="1" applyAlignment="1">
      <alignment horizontal="center" vertical="center"/>
    </xf>
    <xf numFmtId="3" fontId="42" fillId="11" borderId="101" xfId="4" applyNumberFormat="1" applyFont="1" applyFill="1" applyBorder="1" applyAlignment="1">
      <alignment vertical="center"/>
    </xf>
    <xf numFmtId="0" fontId="42" fillId="11" borderId="78" xfId="4" applyFont="1" applyFill="1" applyBorder="1" applyAlignment="1">
      <alignment vertical="center" wrapText="1"/>
    </xf>
    <xf numFmtId="0" fontId="74" fillId="0" borderId="154" xfId="4" applyFont="1" applyBorder="1" applyAlignment="1">
      <alignment horizontal="center" vertical="center"/>
    </xf>
    <xf numFmtId="0" fontId="42" fillId="0" borderId="53" xfId="4" applyNumberFormat="1" applyFont="1" applyBorder="1" applyAlignment="1">
      <alignment horizontal="center" vertical="center"/>
    </xf>
    <xf numFmtId="3" fontId="42" fillId="11" borderId="53" xfId="4" applyNumberFormat="1" applyFont="1" applyFill="1" applyBorder="1" applyAlignment="1">
      <alignment horizontal="right" vertical="center"/>
    </xf>
    <xf numFmtId="0" fontId="74" fillId="0" borderId="84" xfId="4" applyFont="1" applyBorder="1" applyAlignment="1">
      <alignment horizontal="center" vertical="center"/>
    </xf>
    <xf numFmtId="0" fontId="42" fillId="0" borderId="38" xfId="4" applyFont="1" applyBorder="1" applyAlignment="1">
      <alignment horizontal="left" vertical="center" wrapText="1"/>
    </xf>
    <xf numFmtId="0" fontId="74" fillId="0" borderId="38" xfId="4" applyFont="1" applyBorder="1" applyAlignment="1">
      <alignment horizontal="center" vertical="center"/>
    </xf>
    <xf numFmtId="3" fontId="74" fillId="0" borderId="38" xfId="4" applyNumberFormat="1" applyFont="1" applyBorder="1" applyAlignment="1">
      <alignment vertical="center"/>
    </xf>
    <xf numFmtId="0" fontId="42" fillId="0" borderId="38" xfId="4" applyNumberFormat="1" applyFont="1" applyBorder="1" applyAlignment="1">
      <alignment horizontal="center" vertical="center"/>
    </xf>
    <xf numFmtId="3" fontId="42" fillId="11" borderId="38" xfId="4" applyNumberFormat="1" applyFont="1" applyFill="1" applyBorder="1" applyAlignment="1">
      <alignment horizontal="right" vertical="center"/>
    </xf>
    <xf numFmtId="0" fontId="42" fillId="11" borderId="86" xfId="4" applyFont="1" applyFill="1" applyBorder="1" applyAlignment="1">
      <alignment vertical="center" wrapText="1"/>
    </xf>
    <xf numFmtId="0" fontId="42" fillId="0" borderId="53" xfId="4" applyFont="1" applyBorder="1" applyAlignment="1">
      <alignment horizontal="left" vertical="center" wrapText="1"/>
    </xf>
    <xf numFmtId="0" fontId="74" fillId="0" borderId="53" xfId="4" applyFont="1" applyBorder="1" applyAlignment="1">
      <alignment horizontal="center" vertical="center"/>
    </xf>
    <xf numFmtId="3" fontId="74" fillId="0" borderId="53" xfId="4" applyNumberFormat="1" applyFont="1" applyBorder="1" applyAlignment="1">
      <alignment horizontal="right" vertical="center"/>
    </xf>
    <xf numFmtId="0" fontId="42" fillId="11" borderId="80" xfId="4" applyFont="1" applyFill="1" applyBorder="1" applyAlignment="1">
      <alignment vertical="center" wrapText="1"/>
    </xf>
    <xf numFmtId="0" fontId="74" fillId="0" borderId="81" xfId="4" applyFont="1" applyBorder="1" applyAlignment="1">
      <alignment horizontal="center" vertical="center"/>
    </xf>
    <xf numFmtId="0" fontId="42" fillId="0" borderId="58" xfId="4" applyFont="1" applyBorder="1" applyAlignment="1">
      <alignment horizontal="center" vertical="center" wrapText="1"/>
    </xf>
    <xf numFmtId="0" fontId="7" fillId="0" borderId="53" xfId="1" applyNumberFormat="1" applyFont="1" applyBorder="1" applyAlignment="1">
      <alignment horizontal="center" vertical="center"/>
    </xf>
    <xf numFmtId="3" fontId="7" fillId="11" borderId="53" xfId="1" applyNumberFormat="1" applyFont="1" applyFill="1" applyBorder="1" applyAlignment="1">
      <alignment horizontal="right" vertical="center"/>
    </xf>
    <xf numFmtId="0" fontId="7" fillId="11" borderId="80" xfId="1" applyFont="1" applyFill="1" applyBorder="1" applyAlignment="1">
      <alignment horizontal="left" vertical="center" wrapText="1"/>
    </xf>
    <xf numFmtId="0" fontId="12" fillId="0" borderId="154" xfId="1" applyFont="1" applyFill="1" applyBorder="1" applyAlignment="1">
      <alignment horizontal="center" vertical="center"/>
    </xf>
    <xf numFmtId="0" fontId="7" fillId="0" borderId="53" xfId="1" applyFont="1" applyBorder="1" applyAlignment="1">
      <alignment horizontal="left" vertical="center" wrapText="1"/>
    </xf>
    <xf numFmtId="3" fontId="12" fillId="0" borderId="53" xfId="1" applyNumberFormat="1" applyFont="1" applyBorder="1" applyAlignment="1">
      <alignment horizontal="right" vertical="center"/>
    </xf>
    <xf numFmtId="0" fontId="7" fillId="0" borderId="80" xfId="1" applyFont="1" applyBorder="1" applyAlignment="1">
      <alignment horizontal="left" vertical="center" wrapText="1"/>
    </xf>
    <xf numFmtId="0" fontId="7" fillId="0" borderId="101" xfId="1" applyFont="1" applyBorder="1" applyAlignment="1">
      <alignment vertical="center" wrapText="1"/>
    </xf>
    <xf numFmtId="0" fontId="5" fillId="0" borderId="53" xfId="1" applyBorder="1" applyAlignment="1">
      <alignment horizontal="left" vertical="center"/>
    </xf>
    <xf numFmtId="0" fontId="7" fillId="0" borderId="58" xfId="1" applyFont="1" applyBorder="1" applyAlignment="1">
      <alignment vertical="center" wrapText="1"/>
    </xf>
    <xf numFmtId="0" fontId="7" fillId="0" borderId="58" xfId="1" applyNumberFormat="1" applyFont="1" applyBorder="1" applyAlignment="1">
      <alignment horizontal="center" vertical="center"/>
    </xf>
    <xf numFmtId="3" fontId="7" fillId="11" borderId="58" xfId="1" applyNumberFormat="1" applyFont="1" applyFill="1" applyBorder="1" applyAlignment="1">
      <alignment horizontal="right" vertical="center"/>
    </xf>
    <xf numFmtId="0" fontId="7" fillId="0" borderId="83" xfId="1" applyFont="1" applyBorder="1" applyAlignment="1">
      <alignment horizontal="left" vertical="center" wrapText="1"/>
    </xf>
    <xf numFmtId="0" fontId="12" fillId="0" borderId="155" xfId="1" applyFont="1" applyFill="1" applyBorder="1" applyAlignment="1">
      <alignment horizontal="center" vertical="center"/>
    </xf>
    <xf numFmtId="0" fontId="7" fillId="0" borderId="152" xfId="1" applyFont="1" applyBorder="1" applyAlignment="1">
      <alignment vertical="center" wrapText="1"/>
    </xf>
    <xf numFmtId="0" fontId="7" fillId="0" borderId="152" xfId="1" applyNumberFormat="1" applyFont="1" applyBorder="1" applyAlignment="1">
      <alignment horizontal="center" vertical="center"/>
    </xf>
    <xf numFmtId="3" fontId="7" fillId="11" borderId="152" xfId="1" applyNumberFormat="1" applyFont="1" applyFill="1" applyBorder="1" applyAlignment="1">
      <alignment horizontal="right" vertical="center"/>
    </xf>
    <xf numFmtId="0" fontId="5" fillId="0" borderId="153" xfId="1" applyBorder="1" applyAlignment="1">
      <alignment wrapText="1"/>
    </xf>
    <xf numFmtId="0" fontId="21" fillId="3" borderId="7" xfId="1" applyFont="1" applyFill="1" applyBorder="1"/>
    <xf numFmtId="0" fontId="11" fillId="3" borderId="31" xfId="1" applyFont="1" applyFill="1" applyBorder="1" applyAlignment="1">
      <alignment horizontal="center" vertical="center" wrapText="1"/>
    </xf>
    <xf numFmtId="0" fontId="11" fillId="3" borderId="45" xfId="1" applyFont="1" applyFill="1" applyBorder="1" applyAlignment="1">
      <alignment horizontal="center" vertical="center" wrapText="1"/>
    </xf>
    <xf numFmtId="49" fontId="12" fillId="0" borderId="38" xfId="1" applyNumberFormat="1" applyFont="1" applyFill="1" applyBorder="1" applyAlignment="1">
      <alignment horizontal="center" vertical="center"/>
    </xf>
    <xf numFmtId="0" fontId="7" fillId="0" borderId="38" xfId="1" applyNumberFormat="1" applyFont="1" applyFill="1" applyBorder="1" applyAlignment="1">
      <alignment horizontal="center" vertical="center" wrapText="1"/>
    </xf>
    <xf numFmtId="3" fontId="7" fillId="0" borderId="38" xfId="1" applyNumberFormat="1" applyFont="1" applyFill="1" applyBorder="1" applyAlignment="1">
      <alignment horizontal="right" vertical="center" wrapText="1"/>
    </xf>
    <xf numFmtId="0" fontId="42" fillId="0" borderId="86" xfId="1" applyFont="1" applyFill="1" applyBorder="1" applyAlignment="1">
      <alignment horizontal="left" vertical="center" wrapText="1"/>
    </xf>
    <xf numFmtId="49" fontId="12" fillId="0" borderId="152" xfId="1" applyNumberFormat="1" applyFont="1" applyFill="1" applyBorder="1" applyAlignment="1">
      <alignment horizontal="center" vertical="center"/>
    </xf>
    <xf numFmtId="0" fontId="7" fillId="0" borderId="152" xfId="1" applyNumberFormat="1" applyFont="1" applyFill="1" applyBorder="1" applyAlignment="1">
      <alignment horizontal="center" vertical="center" wrapText="1"/>
    </xf>
    <xf numFmtId="3" fontId="7" fillId="0" borderId="152" xfId="1" applyNumberFormat="1" applyFont="1" applyFill="1" applyBorder="1" applyAlignment="1">
      <alignment horizontal="right" vertical="center" wrapText="1"/>
    </xf>
    <xf numFmtId="0" fontId="42" fillId="0" borderId="153" xfId="1" applyFont="1" applyFill="1" applyBorder="1" applyAlignment="1">
      <alignment horizontal="left" vertical="center" wrapText="1"/>
    </xf>
    <xf numFmtId="0" fontId="65" fillId="0" borderId="46" xfId="1" applyFont="1" applyBorder="1" applyAlignment="1">
      <alignment horizontal="center" vertical="center"/>
    </xf>
    <xf numFmtId="49" fontId="12" fillId="0" borderId="32" xfId="1" applyNumberFormat="1" applyFont="1" applyFill="1" applyBorder="1" applyAlignment="1">
      <alignment horizontal="center" vertical="center"/>
    </xf>
    <xf numFmtId="0" fontId="7" fillId="0" borderId="32" xfId="1" applyNumberFormat="1" applyFont="1" applyFill="1" applyBorder="1" applyAlignment="1">
      <alignment horizontal="center" vertical="center" wrapText="1"/>
    </xf>
    <xf numFmtId="3" fontId="7" fillId="0" borderId="32" xfId="1" applyNumberFormat="1" applyFont="1" applyFill="1" applyBorder="1" applyAlignment="1">
      <alignment horizontal="right" vertical="center" wrapText="1"/>
    </xf>
    <xf numFmtId="3" fontId="7" fillId="11" borderId="32" xfId="1" applyNumberFormat="1" applyFont="1" applyFill="1" applyBorder="1" applyAlignment="1">
      <alignment horizontal="right" vertical="center" wrapText="1"/>
    </xf>
    <xf numFmtId="0" fontId="42" fillId="0" borderId="34" xfId="1" applyFont="1" applyFill="1" applyBorder="1" applyAlignment="1">
      <alignment horizontal="left" vertical="center" wrapText="1"/>
    </xf>
    <xf numFmtId="0" fontId="12" fillId="0" borderId="32" xfId="1" applyFont="1" applyBorder="1" applyAlignment="1">
      <alignment horizontal="center" vertical="center"/>
    </xf>
    <xf numFmtId="0" fontId="7" fillId="0" borderId="32" xfId="1" applyNumberFormat="1" applyFont="1" applyBorder="1" applyAlignment="1">
      <alignment horizontal="center" vertical="center" wrapText="1"/>
    </xf>
    <xf numFmtId="3" fontId="7" fillId="0" borderId="32" xfId="1" applyNumberFormat="1" applyFont="1" applyBorder="1" applyAlignment="1">
      <alignment horizontal="right" vertical="center" wrapText="1"/>
    </xf>
    <xf numFmtId="0" fontId="42" fillId="0" borderId="34" xfId="1" applyFont="1" applyBorder="1" applyAlignment="1">
      <alignment horizontal="left" vertical="center" wrapText="1"/>
    </xf>
    <xf numFmtId="49" fontId="12" fillId="0" borderId="38" xfId="1" applyNumberFormat="1" applyFont="1" applyBorder="1" applyAlignment="1">
      <alignment horizontal="center" vertical="center"/>
    </xf>
    <xf numFmtId="0" fontId="7" fillId="0" borderId="38" xfId="1" applyNumberFormat="1" applyFont="1" applyFill="1" applyBorder="1" applyAlignment="1">
      <alignment horizontal="center" vertical="center"/>
    </xf>
    <xf numFmtId="3" fontId="7" fillId="0" borderId="38" xfId="1" applyNumberFormat="1" applyFont="1" applyFill="1" applyBorder="1" applyAlignment="1">
      <alignment horizontal="right" vertical="center"/>
    </xf>
    <xf numFmtId="3" fontId="7" fillId="11" borderId="38" xfId="1" applyNumberFormat="1" applyFont="1" applyFill="1" applyBorder="1" applyAlignment="1">
      <alignment horizontal="right" vertical="center"/>
    </xf>
    <xf numFmtId="0" fontId="7" fillId="0" borderId="86" xfId="1" applyFont="1" applyBorder="1" applyAlignment="1">
      <alignment horizontal="left" vertical="center" wrapText="1"/>
    </xf>
    <xf numFmtId="49" fontId="12" fillId="0" borderId="152" xfId="1" applyNumberFormat="1" applyFont="1" applyBorder="1" applyAlignment="1">
      <alignment horizontal="center" vertical="center"/>
    </xf>
    <xf numFmtId="0" fontId="7" fillId="0" borderId="152" xfId="1" applyNumberFormat="1" applyFont="1" applyFill="1" applyBorder="1" applyAlignment="1">
      <alignment horizontal="center" vertical="center"/>
    </xf>
    <xf numFmtId="3" fontId="7" fillId="0" borderId="152" xfId="1" applyNumberFormat="1" applyFont="1" applyFill="1" applyBorder="1" applyAlignment="1">
      <alignment horizontal="right" vertical="center"/>
    </xf>
    <xf numFmtId="0" fontId="42" fillId="0" borderId="153" xfId="1" applyFont="1" applyBorder="1" applyAlignment="1">
      <alignment vertical="center" wrapText="1"/>
    </xf>
    <xf numFmtId="0" fontId="42" fillId="0" borderId="86" xfId="1" applyFont="1" applyBorder="1" applyAlignment="1">
      <alignment vertical="center" wrapText="1"/>
    </xf>
    <xf numFmtId="49" fontId="12" fillId="0" borderId="136" xfId="1" applyNumberFormat="1" applyFont="1" applyBorder="1" applyAlignment="1">
      <alignment horizontal="center" vertical="center"/>
    </xf>
    <xf numFmtId="0" fontId="7" fillId="0" borderId="136" xfId="1" applyNumberFormat="1" applyFont="1" applyFill="1" applyBorder="1" applyAlignment="1">
      <alignment horizontal="center" vertical="center"/>
    </xf>
    <xf numFmtId="3" fontId="7" fillId="0" borderId="136" xfId="1" applyNumberFormat="1" applyFont="1" applyFill="1" applyBorder="1" applyAlignment="1">
      <alignment horizontal="right" vertical="center"/>
    </xf>
    <xf numFmtId="3" fontId="7" fillId="11" borderId="136" xfId="1" applyNumberFormat="1" applyFont="1" applyFill="1" applyBorder="1" applyAlignment="1">
      <alignment horizontal="right" vertical="center"/>
    </xf>
    <xf numFmtId="0" fontId="42" fillId="0" borderId="156" xfId="1" applyFont="1" applyBorder="1" applyAlignment="1">
      <alignment vertical="center" wrapText="1"/>
    </xf>
    <xf numFmtId="49" fontId="12" fillId="0" borderId="32" xfId="1" applyNumberFormat="1" applyFont="1" applyBorder="1" applyAlignment="1">
      <alignment horizontal="center" vertical="center"/>
    </xf>
    <xf numFmtId="0" fontId="7" fillId="0" borderId="32" xfId="1" applyNumberFormat="1" applyFont="1" applyFill="1" applyBorder="1" applyAlignment="1">
      <alignment horizontal="center" vertical="center"/>
    </xf>
    <xf numFmtId="3" fontId="7" fillId="0" borderId="32" xfId="1" applyNumberFormat="1" applyFont="1" applyFill="1" applyBorder="1" applyAlignment="1">
      <alignment horizontal="right" vertical="center"/>
    </xf>
    <xf numFmtId="3" fontId="7" fillId="11" borderId="32" xfId="1" applyNumberFormat="1" applyFont="1" applyFill="1" applyBorder="1" applyAlignment="1">
      <alignment horizontal="right" vertical="center"/>
    </xf>
    <xf numFmtId="0" fontId="42" fillId="0" borderId="34" xfId="1" applyFont="1" applyBorder="1" applyAlignment="1">
      <alignment vertical="center" wrapText="1"/>
    </xf>
    <xf numFmtId="0" fontId="7" fillId="0" borderId="34" xfId="1" applyFont="1" applyBorder="1" applyAlignment="1">
      <alignment vertical="center" wrapText="1"/>
    </xf>
    <xf numFmtId="0" fontId="7" fillId="0" borderId="38" xfId="1" applyNumberFormat="1" applyFont="1" applyBorder="1" applyAlignment="1">
      <alignment horizontal="center" vertical="center"/>
    </xf>
    <xf numFmtId="0" fontId="78" fillId="0" borderId="0" xfId="1" applyFont="1"/>
    <xf numFmtId="0" fontId="5" fillId="0" borderId="0" xfId="1" applyAlignment="1">
      <alignment vertical="center"/>
    </xf>
    <xf numFmtId="49" fontId="20" fillId="0" borderId="0" xfId="1" applyNumberFormat="1" applyFont="1" applyAlignment="1">
      <alignment horizontal="center"/>
    </xf>
    <xf numFmtId="3" fontId="20" fillId="0" borderId="0" xfId="1" applyNumberFormat="1" applyFont="1" applyAlignment="1">
      <alignment horizontal="right"/>
    </xf>
    <xf numFmtId="0" fontId="20" fillId="0" borderId="0" xfId="1" applyFont="1"/>
    <xf numFmtId="0" fontId="20" fillId="0" borderId="0" xfId="1" applyFont="1" applyAlignment="1">
      <alignment horizontal="center"/>
    </xf>
    <xf numFmtId="49" fontId="5" fillId="0" borderId="0" xfId="1" applyNumberFormat="1" applyAlignment="1">
      <alignment horizontal="center" vertical="center"/>
    </xf>
    <xf numFmtId="0" fontId="5" fillId="0" borderId="0" xfId="1" applyAlignment="1">
      <alignment horizontal="center"/>
    </xf>
    <xf numFmtId="0" fontId="12" fillId="0" borderId="81" xfId="1" applyFont="1" applyFill="1" applyBorder="1" applyAlignment="1">
      <alignment horizontal="center" vertical="center"/>
    </xf>
    <xf numFmtId="0" fontId="12" fillId="0" borderId="77" xfId="1" applyFont="1" applyFill="1" applyBorder="1" applyAlignment="1">
      <alignment horizontal="center" vertical="center"/>
    </xf>
    <xf numFmtId="0" fontId="7" fillId="0" borderId="58" xfId="1" applyFont="1" applyBorder="1" applyAlignment="1">
      <alignment horizontal="left" vertical="center" wrapText="1"/>
    </xf>
    <xf numFmtId="49" fontId="12" fillId="11" borderId="38" xfId="1" applyNumberFormat="1" applyFont="1" applyFill="1" applyBorder="1" applyAlignment="1">
      <alignment horizontal="center" vertical="center"/>
    </xf>
    <xf numFmtId="49" fontId="12" fillId="11" borderId="53" xfId="1" applyNumberFormat="1" applyFont="1" applyFill="1" applyBorder="1" applyAlignment="1">
      <alignment horizontal="center" vertical="center"/>
    </xf>
    <xf numFmtId="49" fontId="12" fillId="11" borderId="152" xfId="1" applyNumberFormat="1" applyFont="1" applyFill="1" applyBorder="1" applyAlignment="1">
      <alignment horizontal="center" vertical="center"/>
    </xf>
    <xf numFmtId="0" fontId="7" fillId="11" borderId="38" xfId="1" applyFont="1" applyFill="1" applyBorder="1" applyAlignment="1">
      <alignment horizontal="left" vertical="center" wrapText="1"/>
    </xf>
    <xf numFmtId="0" fontId="7" fillId="11" borderId="53" xfId="1" applyFont="1" applyFill="1" applyBorder="1" applyAlignment="1">
      <alignment horizontal="left" vertical="center" wrapText="1"/>
    </xf>
    <xf numFmtId="0" fontId="79" fillId="0" borderId="0" xfId="1" applyFont="1" applyAlignment="1">
      <alignment vertical="center" wrapText="1"/>
    </xf>
    <xf numFmtId="0" fontId="57" fillId="0" borderId="0" xfId="1" applyFont="1"/>
    <xf numFmtId="0" fontId="57" fillId="0" borderId="0" xfId="1" applyFont="1" applyAlignment="1">
      <alignment horizontal="center"/>
    </xf>
    <xf numFmtId="0" fontId="80" fillId="0" borderId="0" xfId="1" applyFont="1" applyBorder="1" applyAlignment="1">
      <alignment horizontal="center" vertical="center" wrapText="1"/>
    </xf>
    <xf numFmtId="0" fontId="84" fillId="23" borderId="53" xfId="1" applyFont="1" applyFill="1" applyBorder="1" applyAlignment="1">
      <alignment horizontal="center" vertical="center" wrapText="1"/>
    </xf>
    <xf numFmtId="0" fontId="84" fillId="23" borderId="80" xfId="1" applyFont="1" applyFill="1" applyBorder="1" applyAlignment="1">
      <alignment horizontal="center" vertical="center" wrapText="1"/>
    </xf>
    <xf numFmtId="49" fontId="85" fillId="23" borderId="155" xfId="1" applyNumberFormat="1" applyFont="1" applyFill="1" applyBorder="1" applyAlignment="1">
      <alignment horizontal="center" vertical="center"/>
    </xf>
    <xf numFmtId="49" fontId="85" fillId="23" borderId="152" xfId="1" applyNumberFormat="1" applyFont="1" applyFill="1" applyBorder="1" applyAlignment="1">
      <alignment horizontal="center" vertical="center"/>
    </xf>
    <xf numFmtId="0" fontId="16" fillId="23" borderId="152" xfId="1" applyFont="1" applyFill="1" applyBorder="1" applyAlignment="1">
      <alignment horizontal="center" vertical="center"/>
    </xf>
    <xf numFmtId="0" fontId="16" fillId="23" borderId="153" xfId="1" applyFont="1" applyFill="1" applyBorder="1" applyAlignment="1">
      <alignment horizontal="center" vertical="center"/>
    </xf>
    <xf numFmtId="0" fontId="5" fillId="0" borderId="0" xfId="1" applyFill="1"/>
    <xf numFmtId="49" fontId="9" fillId="24" borderId="46" xfId="1" applyNumberFormat="1" applyFont="1" applyFill="1" applyBorder="1" applyAlignment="1">
      <alignment horizontal="center" vertical="center"/>
    </xf>
    <xf numFmtId="3" fontId="12" fillId="24" borderId="32" xfId="1" applyNumberFormat="1" applyFont="1" applyFill="1" applyBorder="1" applyAlignment="1">
      <alignment vertical="center"/>
    </xf>
    <xf numFmtId="3" fontId="12" fillId="24" borderId="34" xfId="1" applyNumberFormat="1" applyFont="1" applyFill="1" applyBorder="1" applyAlignment="1">
      <alignment vertical="center"/>
    </xf>
    <xf numFmtId="3" fontId="5" fillId="0" borderId="0" xfId="1" applyNumberFormat="1" applyFont="1" applyFill="1"/>
    <xf numFmtId="0" fontId="5" fillId="0" borderId="0" xfId="1" applyFont="1" applyFill="1"/>
    <xf numFmtId="49" fontId="82" fillId="9" borderId="53" xfId="1" applyNumberFormat="1" applyFont="1" applyFill="1" applyBorder="1" applyAlignment="1">
      <alignment horizontal="center" vertical="center" wrapText="1"/>
    </xf>
    <xf numFmtId="3" fontId="86" fillId="9" borderId="53" xfId="1" applyNumberFormat="1" applyFont="1" applyFill="1" applyBorder="1" applyAlignment="1">
      <alignment vertical="center"/>
    </xf>
    <xf numFmtId="3" fontId="86" fillId="9" borderId="80" xfId="1" applyNumberFormat="1" applyFont="1" applyFill="1" applyBorder="1" applyAlignment="1">
      <alignment vertical="center"/>
    </xf>
    <xf numFmtId="0" fontId="81" fillId="0" borderId="0" xfId="1" applyFont="1" applyFill="1"/>
    <xf numFmtId="0" fontId="81" fillId="0" borderId="0" xfId="1" applyFont="1"/>
    <xf numFmtId="49" fontId="87" fillId="21" borderId="53" xfId="1" applyNumberFormat="1" applyFont="1" applyFill="1" applyBorder="1" applyAlignment="1">
      <alignment horizontal="center" vertical="center" wrapText="1"/>
    </xf>
    <xf numFmtId="3" fontId="88" fillId="21" borderId="53" xfId="1" applyNumberFormat="1" applyFont="1" applyFill="1" applyBorder="1" applyAlignment="1">
      <alignment vertical="center"/>
    </xf>
    <xf numFmtId="3" fontId="88" fillId="21" borderId="80" xfId="1" applyNumberFormat="1" applyFont="1" applyFill="1" applyBorder="1" applyAlignment="1">
      <alignment vertical="center"/>
    </xf>
    <xf numFmtId="0" fontId="13" fillId="0" borderId="53" xfId="1" applyFont="1" applyFill="1" applyBorder="1" applyAlignment="1">
      <alignment horizontal="center" vertical="center"/>
    </xf>
    <xf numFmtId="49" fontId="13" fillId="0" borderId="53" xfId="1" applyNumberFormat="1" applyFont="1" applyFill="1" applyBorder="1" applyAlignment="1">
      <alignment horizontal="center" vertical="center"/>
    </xf>
    <xf numFmtId="3" fontId="13" fillId="0" borderId="53" xfId="1" applyNumberFormat="1" applyFont="1" applyFill="1" applyBorder="1" applyAlignment="1">
      <alignment vertical="center"/>
    </xf>
    <xf numFmtId="3" fontId="13" fillId="0" borderId="80" xfId="1" applyNumberFormat="1" applyFont="1" applyFill="1" applyBorder="1" applyAlignment="1">
      <alignment vertical="center"/>
    </xf>
    <xf numFmtId="49" fontId="87" fillId="21" borderId="53" xfId="1" applyNumberFormat="1" applyFont="1" applyFill="1" applyBorder="1" applyAlignment="1">
      <alignment horizontal="center" vertical="center"/>
    </xf>
    <xf numFmtId="49" fontId="13" fillId="0" borderId="58" xfId="1" applyNumberFormat="1" applyFont="1" applyFill="1" applyBorder="1" applyAlignment="1">
      <alignment horizontal="center" vertical="center"/>
    </xf>
    <xf numFmtId="49" fontId="15" fillId="0" borderId="53" xfId="1" applyNumberFormat="1" applyFont="1" applyFill="1" applyBorder="1" applyAlignment="1">
      <alignment horizontal="center" vertical="center" wrapText="1"/>
    </xf>
    <xf numFmtId="3" fontId="14" fillId="0" borderId="53" xfId="1" applyNumberFormat="1" applyFont="1" applyFill="1" applyBorder="1" applyAlignment="1">
      <alignment vertical="center"/>
    </xf>
    <xf numFmtId="3" fontId="14" fillId="0" borderId="80" xfId="1" applyNumberFormat="1" applyFont="1" applyFill="1" applyBorder="1" applyAlignment="1">
      <alignment vertical="center"/>
    </xf>
    <xf numFmtId="3" fontId="9" fillId="24" borderId="32" xfId="1" applyNumberFormat="1" applyFont="1" applyFill="1" applyBorder="1" applyAlignment="1">
      <alignment vertical="center"/>
    </xf>
    <xf numFmtId="3" fontId="9" fillId="24" borderId="34" xfId="1" applyNumberFormat="1" applyFont="1" applyFill="1" applyBorder="1" applyAlignment="1">
      <alignment vertical="center"/>
    </xf>
    <xf numFmtId="49" fontId="13" fillId="0" borderId="151" xfId="1" applyNumberFormat="1" applyFont="1" applyFill="1" applyBorder="1" applyAlignment="1">
      <alignment vertical="center"/>
    </xf>
    <xf numFmtId="0" fontId="14" fillId="0" borderId="88" xfId="1" applyFont="1" applyFill="1" applyBorder="1" applyAlignment="1">
      <alignment vertical="center" wrapText="1"/>
    </xf>
    <xf numFmtId="0" fontId="13" fillId="0" borderId="101" xfId="1" applyFont="1" applyFill="1" applyBorder="1" applyAlignment="1">
      <alignment horizontal="center" vertical="center"/>
    </xf>
    <xf numFmtId="49" fontId="13" fillId="0" borderId="101" xfId="1" applyNumberFormat="1" applyFont="1" applyFill="1" applyBorder="1" applyAlignment="1">
      <alignment horizontal="center" vertical="center"/>
    </xf>
    <xf numFmtId="3" fontId="13" fillId="0" borderId="101" xfId="1" applyNumberFormat="1" applyFont="1" applyFill="1" applyBorder="1" applyAlignment="1">
      <alignment vertical="center"/>
    </xf>
    <xf numFmtId="3" fontId="13" fillId="0" borderId="78" xfId="1" applyNumberFormat="1" applyFont="1" applyFill="1" applyBorder="1" applyAlignment="1">
      <alignment vertical="center"/>
    </xf>
    <xf numFmtId="3" fontId="12" fillId="23" borderId="32" xfId="1" applyNumberFormat="1" applyFont="1" applyFill="1" applyBorder="1" applyAlignment="1">
      <alignment vertical="center"/>
    </xf>
    <xf numFmtId="3" fontId="12" fillId="23" borderId="34" xfId="1" applyNumberFormat="1" applyFont="1" applyFill="1" applyBorder="1" applyAlignment="1">
      <alignment vertical="center"/>
    </xf>
    <xf numFmtId="0" fontId="49" fillId="0" borderId="0" xfId="1" applyFont="1" applyBorder="1" applyAlignment="1">
      <alignment horizontal="right" vertical="center"/>
    </xf>
    <xf numFmtId="3" fontId="57" fillId="0" borderId="0" xfId="1" applyNumberFormat="1" applyFont="1"/>
    <xf numFmtId="0" fontId="5" fillId="0" borderId="0" xfId="1" applyFont="1" applyAlignment="1">
      <alignment horizontal="center"/>
    </xf>
    <xf numFmtId="0" fontId="9" fillId="0" borderId="0" xfId="1" applyFont="1" applyBorder="1" applyAlignment="1">
      <alignment horizontal="right" vertical="center"/>
    </xf>
    <xf numFmtId="3" fontId="5" fillId="0" borderId="0" xfId="1" applyNumberFormat="1" applyFont="1"/>
    <xf numFmtId="0" fontId="8" fillId="0" borderId="0" xfId="1" applyFont="1" applyBorder="1" applyAlignment="1">
      <alignment horizontal="right" vertical="center"/>
    </xf>
    <xf numFmtId="0" fontId="5" fillId="0" borderId="0" xfId="1" applyFont="1" applyAlignment="1">
      <alignment horizontal="right"/>
    </xf>
    <xf numFmtId="0" fontId="89" fillId="0" borderId="0" xfId="1" applyFont="1" applyAlignment="1">
      <alignment horizontal="right"/>
    </xf>
    <xf numFmtId="0" fontId="59" fillId="0" borderId="0" xfId="1" applyFont="1" applyAlignment="1">
      <alignment horizontal="right"/>
    </xf>
    <xf numFmtId="3" fontId="65" fillId="0" borderId="0" xfId="1" applyNumberFormat="1" applyFont="1"/>
    <xf numFmtId="0" fontId="46" fillId="0" borderId="0" xfId="1" applyFont="1" applyBorder="1" applyAlignment="1">
      <alignment horizontal="right" vertical="center"/>
    </xf>
    <xf numFmtId="0" fontId="45" fillId="0" borderId="0" xfId="1" applyFont="1" applyBorder="1" applyAlignment="1">
      <alignment horizontal="right" vertical="center"/>
    </xf>
    <xf numFmtId="0" fontId="57" fillId="0" borderId="0" xfId="1" applyFont="1" applyAlignment="1">
      <alignment horizontal="right"/>
    </xf>
    <xf numFmtId="0" fontId="90" fillId="0" borderId="0" xfId="1" applyFont="1" applyAlignment="1">
      <alignment horizontal="right"/>
    </xf>
    <xf numFmtId="0" fontId="91" fillId="0" borderId="0" xfId="1" applyFont="1" applyAlignment="1">
      <alignment horizontal="right"/>
    </xf>
    <xf numFmtId="3" fontId="92" fillId="0" borderId="0" xfId="1" applyNumberFormat="1" applyFont="1"/>
    <xf numFmtId="0" fontId="65" fillId="0" borderId="0" xfId="1" applyFont="1" applyAlignment="1">
      <alignment horizontal="right"/>
    </xf>
    <xf numFmtId="0" fontId="92" fillId="0" borderId="0" xfId="1" applyFont="1" applyAlignment="1">
      <alignment horizontal="right"/>
    </xf>
    <xf numFmtId="0" fontId="93" fillId="0" borderId="0" xfId="1" applyFont="1"/>
    <xf numFmtId="3" fontId="93" fillId="0" borderId="0" xfId="1" applyNumberFormat="1" applyFont="1"/>
    <xf numFmtId="49" fontId="85" fillId="23" borderId="81" xfId="1" applyNumberFormat="1" applyFont="1" applyFill="1" applyBorder="1" applyAlignment="1">
      <alignment horizontal="center" vertical="center"/>
    </xf>
    <xf numFmtId="49" fontId="85" fillId="23" borderId="58" xfId="1" applyNumberFormat="1" applyFont="1" applyFill="1" applyBorder="1" applyAlignment="1">
      <alignment horizontal="center" vertical="center"/>
    </xf>
    <xf numFmtId="0" fontId="16" fillId="23" borderId="58" xfId="1" applyFont="1" applyFill="1" applyBorder="1" applyAlignment="1">
      <alignment horizontal="center" vertical="center"/>
    </xf>
    <xf numFmtId="0" fontId="16" fillId="23" borderId="83" xfId="1" applyFont="1" applyFill="1" applyBorder="1" applyAlignment="1">
      <alignment horizontal="center" vertical="center"/>
    </xf>
    <xf numFmtId="0" fontId="13" fillId="0" borderId="53" xfId="1" applyFont="1" applyBorder="1" applyAlignment="1">
      <alignment horizontal="center" vertical="center"/>
    </xf>
    <xf numFmtId="49" fontId="13" fillId="0" borderId="77" xfId="1" applyNumberFormat="1" applyFont="1" applyFill="1" applyBorder="1" applyAlignment="1">
      <alignment vertical="center"/>
    </xf>
    <xf numFmtId="0" fontId="14" fillId="0" borderId="101" xfId="1" applyFont="1" applyFill="1" applyBorder="1" applyAlignment="1">
      <alignment vertical="center" wrapText="1"/>
    </xf>
    <xf numFmtId="0" fontId="13" fillId="0" borderId="101" xfId="1" applyFont="1" applyFill="1" applyBorder="1" applyAlignment="1">
      <alignment vertical="center"/>
    </xf>
    <xf numFmtId="49" fontId="13" fillId="0" borderId="101" xfId="1" applyNumberFormat="1" applyFont="1" applyFill="1" applyBorder="1" applyAlignment="1">
      <alignment vertical="center"/>
    </xf>
    <xf numFmtId="49" fontId="13" fillId="0" borderId="82" xfId="1" applyNumberFormat="1" applyFont="1" applyFill="1" applyBorder="1" applyAlignment="1">
      <alignment vertical="center"/>
    </xf>
    <xf numFmtId="0" fontId="14" fillId="0" borderId="136" xfId="1" applyFont="1" applyFill="1" applyBorder="1" applyAlignment="1">
      <alignment vertical="center" wrapText="1"/>
    </xf>
    <xf numFmtId="0" fontId="13" fillId="0" borderId="136" xfId="1" applyFont="1" applyFill="1" applyBorder="1" applyAlignment="1">
      <alignment vertical="center"/>
    </xf>
    <xf numFmtId="49" fontId="13" fillId="0" borderId="136" xfId="1" applyNumberFormat="1" applyFont="1" applyFill="1" applyBorder="1" applyAlignment="1">
      <alignment vertical="center"/>
    </xf>
    <xf numFmtId="49" fontId="13" fillId="0" borderId="53" xfId="1" applyNumberFormat="1" applyFont="1" applyFill="1" applyBorder="1" applyAlignment="1">
      <alignment horizontal="center" vertical="center" wrapText="1"/>
    </xf>
    <xf numFmtId="49" fontId="9" fillId="24" borderId="84" xfId="1" applyNumberFormat="1" applyFont="1" applyFill="1" applyBorder="1" applyAlignment="1">
      <alignment horizontal="center" vertical="center"/>
    </xf>
    <xf numFmtId="3" fontId="9" fillId="24" borderId="38" xfId="1" applyNumberFormat="1" applyFont="1" applyFill="1" applyBorder="1" applyAlignment="1">
      <alignment vertical="center"/>
    </xf>
    <xf numFmtId="3" fontId="9" fillId="24" borderId="86" xfId="1" applyNumberFormat="1" applyFont="1" applyFill="1" applyBorder="1" applyAlignment="1">
      <alignment vertical="center"/>
    </xf>
    <xf numFmtId="0" fontId="13" fillId="0" borderId="58" xfId="1" applyFont="1" applyBorder="1" applyAlignment="1">
      <alignment horizontal="center" vertical="center"/>
    </xf>
    <xf numFmtId="3" fontId="13" fillId="0" borderId="58" xfId="1" applyNumberFormat="1" applyFont="1" applyFill="1" applyBorder="1" applyAlignment="1">
      <alignment vertical="center"/>
    </xf>
    <xf numFmtId="3" fontId="13" fillId="0" borderId="83" xfId="1" applyNumberFormat="1" applyFont="1" applyFill="1" applyBorder="1" applyAlignment="1">
      <alignment vertical="center"/>
    </xf>
    <xf numFmtId="49" fontId="9" fillId="24" borderId="151" xfId="1" applyNumberFormat="1" applyFont="1" applyFill="1" applyBorder="1" applyAlignment="1">
      <alignment horizontal="center" vertical="center"/>
    </xf>
    <xf numFmtId="3" fontId="9" fillId="24" borderId="88" xfId="1" applyNumberFormat="1" applyFont="1" applyFill="1" applyBorder="1" applyAlignment="1">
      <alignment vertical="center"/>
    </xf>
    <xf numFmtId="3" fontId="9" fillId="24" borderId="103" xfId="1" applyNumberFormat="1" applyFont="1" applyFill="1" applyBorder="1" applyAlignment="1">
      <alignment vertical="center"/>
    </xf>
    <xf numFmtId="0" fontId="13" fillId="0" borderId="65" xfId="1" applyFont="1" applyFill="1" applyBorder="1" applyAlignment="1">
      <alignment horizontal="center" vertical="center"/>
    </xf>
    <xf numFmtId="0" fontId="13" fillId="0" borderId="58" xfId="1" applyFont="1" applyFill="1" applyBorder="1" applyAlignment="1">
      <alignment horizontal="center" vertical="center"/>
    </xf>
    <xf numFmtId="0" fontId="94" fillId="0" borderId="101" xfId="1" applyFont="1" applyFill="1" applyBorder="1" applyAlignment="1">
      <alignment horizontal="center" vertical="center"/>
    </xf>
    <xf numFmtId="49" fontId="94" fillId="0" borderId="101" xfId="1" applyNumberFormat="1" applyFont="1" applyFill="1" applyBorder="1" applyAlignment="1">
      <alignment horizontal="center" vertical="center"/>
    </xf>
    <xf numFmtId="49" fontId="94" fillId="0" borderId="136" xfId="1" applyNumberFormat="1" applyFont="1" applyFill="1" applyBorder="1" applyAlignment="1">
      <alignment horizontal="center" vertical="center"/>
    </xf>
    <xf numFmtId="3" fontId="94" fillId="0" borderId="101" xfId="1" applyNumberFormat="1" applyFont="1" applyFill="1" applyBorder="1" applyAlignment="1">
      <alignment vertical="center"/>
    </xf>
    <xf numFmtId="3" fontId="94" fillId="0" borderId="78" xfId="1" applyNumberFormat="1" applyFont="1" applyFill="1" applyBorder="1" applyAlignment="1">
      <alignment vertical="center"/>
    </xf>
    <xf numFmtId="49" fontId="9" fillId="24" borderId="77" xfId="1" applyNumberFormat="1" applyFont="1" applyFill="1" applyBorder="1" applyAlignment="1">
      <alignment horizontal="center" vertical="center"/>
    </xf>
    <xf numFmtId="3" fontId="9" fillId="24" borderId="101" xfId="1" applyNumberFormat="1" applyFont="1" applyFill="1" applyBorder="1" applyAlignment="1">
      <alignment vertical="center"/>
    </xf>
    <xf numFmtId="3" fontId="9" fillId="24" borderId="78" xfId="1" applyNumberFormat="1" applyFont="1" applyFill="1" applyBorder="1" applyAlignment="1">
      <alignment vertical="center"/>
    </xf>
    <xf numFmtId="0" fontId="5" fillId="0" borderId="0" xfId="1" applyFont="1" applyBorder="1"/>
    <xf numFmtId="0" fontId="65" fillId="0" borderId="0" xfId="1" applyFont="1" applyBorder="1"/>
    <xf numFmtId="0" fontId="65" fillId="0" borderId="0" xfId="1" applyFont="1"/>
    <xf numFmtId="0" fontId="76" fillId="0" borderId="0" xfId="1" applyFont="1" applyBorder="1"/>
    <xf numFmtId="0" fontId="76" fillId="0" borderId="0" xfId="1" applyFont="1"/>
    <xf numFmtId="3" fontId="76" fillId="0" borderId="0" xfId="1" applyNumberFormat="1" applyFont="1" applyBorder="1"/>
    <xf numFmtId="3" fontId="5" fillId="0" borderId="0" xfId="1" applyNumberFormat="1" applyFont="1" applyBorder="1"/>
    <xf numFmtId="0" fontId="13" fillId="0" borderId="152" xfId="1" applyFont="1" applyBorder="1" applyAlignment="1">
      <alignment horizontal="center" vertical="center"/>
    </xf>
    <xf numFmtId="3" fontId="13" fillId="0" borderId="152" xfId="1" applyNumberFormat="1" applyFont="1" applyFill="1" applyBorder="1" applyAlignment="1">
      <alignment vertical="center"/>
    </xf>
    <xf numFmtId="3" fontId="13" fillId="0" borderId="153" xfId="1" applyNumberFormat="1" applyFont="1" applyFill="1" applyBorder="1" applyAlignment="1">
      <alignment vertical="center"/>
    </xf>
    <xf numFmtId="3" fontId="90" fillId="0" borderId="0" xfId="1" applyNumberFormat="1" applyFont="1"/>
    <xf numFmtId="3" fontId="91" fillId="0" borderId="0" xfId="1" applyNumberFormat="1" applyFont="1"/>
    <xf numFmtId="3" fontId="5" fillId="0" borderId="0" xfId="1" applyNumberFormat="1" applyAlignment="1">
      <alignment horizontal="right"/>
    </xf>
    <xf numFmtId="1" fontId="5" fillId="0" borderId="0" xfId="1" applyNumberFormat="1" applyAlignment="1">
      <alignment horizontal="right"/>
    </xf>
    <xf numFmtId="3" fontId="65" fillId="0" borderId="0" xfId="1" applyNumberFormat="1" applyFont="1" applyAlignment="1">
      <alignment horizontal="right"/>
    </xf>
    <xf numFmtId="0" fontId="7" fillId="0" borderId="154" xfId="1" applyFont="1" applyBorder="1" applyAlignment="1">
      <alignment horizontal="center" vertical="center"/>
    </xf>
    <xf numFmtId="3" fontId="7" fillId="0" borderId="53" xfId="1" applyNumberFormat="1" applyFont="1" applyBorder="1" applyAlignment="1">
      <alignment horizontal="right" vertical="center"/>
    </xf>
    <xf numFmtId="3" fontId="7" fillId="0" borderId="53" xfId="1" applyNumberFormat="1" applyFont="1" applyBorder="1" applyAlignment="1">
      <alignment vertical="center" wrapText="1"/>
    </xf>
    <xf numFmtId="3" fontId="7" fillId="0" borderId="83" xfId="1" applyNumberFormat="1" applyFont="1" applyBorder="1" applyAlignment="1">
      <alignment horizontal="left" vertical="center" wrapText="1"/>
    </xf>
    <xf numFmtId="3" fontId="12" fillId="4" borderId="152" xfId="1" applyNumberFormat="1" applyFont="1" applyFill="1" applyBorder="1" applyAlignment="1">
      <alignment horizontal="right" vertical="center"/>
    </xf>
    <xf numFmtId="3" fontId="12" fillId="4" borderId="153" xfId="1" applyNumberFormat="1" applyFont="1" applyFill="1" applyBorder="1" applyAlignment="1">
      <alignment vertical="center"/>
    </xf>
    <xf numFmtId="3" fontId="5" fillId="0" borderId="0" xfId="1" applyNumberFormat="1" applyAlignment="1"/>
    <xf numFmtId="0" fontId="89" fillId="0" borderId="0" xfId="1" applyFont="1" applyFill="1" applyBorder="1"/>
    <xf numFmtId="3" fontId="5" fillId="0" borderId="0" xfId="1" applyNumberFormat="1" applyFont="1" applyBorder="1" applyAlignment="1"/>
    <xf numFmtId="0" fontId="89" fillId="0" borderId="0" xfId="1" applyFont="1" applyFill="1"/>
    <xf numFmtId="0" fontId="89" fillId="0" borderId="0" xfId="1" applyFont="1" applyBorder="1"/>
    <xf numFmtId="0" fontId="89" fillId="0" borderId="0" xfId="1" applyFont="1"/>
    <xf numFmtId="0" fontId="89" fillId="0" borderId="0" xfId="1" applyFont="1" applyBorder="1" applyAlignment="1">
      <alignment horizontal="right"/>
    </xf>
    <xf numFmtId="3" fontId="89" fillId="0" borderId="0" xfId="1" applyNumberFormat="1" applyFont="1" applyBorder="1"/>
    <xf numFmtId="3" fontId="65" fillId="0" borderId="0" xfId="1" applyNumberFormat="1" applyFont="1" applyAlignment="1"/>
    <xf numFmtId="3" fontId="89" fillId="0" borderId="0" xfId="1" applyNumberFormat="1" applyFont="1"/>
    <xf numFmtId="3" fontId="5" fillId="0" borderId="0" xfId="1" applyNumberFormat="1" applyFont="1" applyBorder="1" applyAlignment="1">
      <alignment horizontal="right"/>
    </xf>
    <xf numFmtId="0" fontId="5" fillId="0" borderId="0" xfId="1" applyFont="1" applyAlignment="1">
      <alignment horizontal="left"/>
    </xf>
    <xf numFmtId="0" fontId="7" fillId="0" borderId="81" xfId="1" applyFont="1" applyBorder="1" applyAlignment="1">
      <alignment horizontal="center" vertical="center"/>
    </xf>
    <xf numFmtId="3" fontId="5" fillId="0" borderId="0" xfId="1" applyNumberFormat="1" applyAlignment="1">
      <alignment horizontal="center"/>
    </xf>
    <xf numFmtId="1" fontId="5" fillId="0" borderId="0" xfId="1" applyNumberFormat="1" applyAlignment="1">
      <alignment horizontal="center"/>
    </xf>
    <xf numFmtId="0" fontId="90" fillId="0" borderId="0" xfId="1" applyFont="1" applyFill="1" applyBorder="1"/>
    <xf numFmtId="3" fontId="57" fillId="0" borderId="0" xfId="1" applyNumberFormat="1" applyFont="1" applyBorder="1" applyAlignment="1"/>
    <xf numFmtId="3" fontId="57" fillId="0" borderId="0" xfId="1" applyNumberFormat="1" applyFont="1" applyBorder="1"/>
    <xf numFmtId="0" fontId="90" fillId="0" borderId="0" xfId="1" applyFont="1" applyFill="1"/>
    <xf numFmtId="0" fontId="90" fillId="0" borderId="0" xfId="1" applyFont="1" applyBorder="1"/>
    <xf numFmtId="0" fontId="90" fillId="0" borderId="0" xfId="1" applyFont="1"/>
    <xf numFmtId="0" fontId="57" fillId="0" borderId="0" xfId="1" applyFont="1" applyBorder="1"/>
    <xf numFmtId="0" fontId="90" fillId="0" borderId="0" xfId="1" applyFont="1" applyBorder="1" applyAlignment="1">
      <alignment horizontal="right"/>
    </xf>
    <xf numFmtId="3" fontId="90" fillId="0" borderId="0" xfId="1" applyNumberFormat="1" applyFont="1" applyBorder="1"/>
    <xf numFmtId="3" fontId="57" fillId="0" borderId="0" xfId="1" applyNumberFormat="1" applyFont="1" applyBorder="1" applyAlignment="1">
      <alignment horizontal="right"/>
    </xf>
    <xf numFmtId="0" fontId="7" fillId="0" borderId="82" xfId="1" applyFont="1" applyFill="1" applyBorder="1" applyAlignment="1">
      <alignment horizontal="center" vertical="center"/>
    </xf>
    <xf numFmtId="0" fontId="7" fillId="0" borderId="136" xfId="1" applyFont="1" applyFill="1" applyBorder="1" applyAlignment="1">
      <alignment horizontal="center" vertical="center"/>
    </xf>
    <xf numFmtId="3" fontId="7" fillId="0" borderId="58" xfId="1" applyNumberFormat="1" applyFont="1" applyFill="1" applyBorder="1" applyAlignment="1">
      <alignment horizontal="right" vertical="center" wrapText="1"/>
    </xf>
    <xf numFmtId="3" fontId="7" fillId="0" borderId="58" xfId="1" applyNumberFormat="1" applyFont="1" applyFill="1" applyBorder="1" applyAlignment="1">
      <alignment horizontal="right" vertical="center"/>
    </xf>
    <xf numFmtId="0" fontId="7" fillId="0" borderId="53" xfId="1" applyFont="1" applyFill="1" applyBorder="1" applyAlignment="1">
      <alignment horizontal="center" vertical="center"/>
    </xf>
    <xf numFmtId="3" fontId="7" fillId="0" borderId="53" xfId="1" applyNumberFormat="1" applyFont="1" applyFill="1" applyBorder="1" applyAlignment="1">
      <alignment horizontal="right" vertical="center"/>
    </xf>
    <xf numFmtId="3" fontId="7" fillId="0" borderId="53" xfId="1" applyNumberFormat="1" applyFont="1" applyBorder="1" applyAlignment="1">
      <alignment horizontal="right" vertical="center" wrapText="1"/>
    </xf>
    <xf numFmtId="3" fontId="76" fillId="0" borderId="0" xfId="1" applyNumberFormat="1" applyFont="1"/>
    <xf numFmtId="0" fontId="7" fillId="0" borderId="101" xfId="1" applyFont="1" applyBorder="1" applyAlignment="1">
      <alignment horizontal="center" vertical="center"/>
    </xf>
    <xf numFmtId="3" fontId="76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" fontId="12" fillId="4" borderId="162" xfId="1" applyNumberFormat="1" applyFont="1" applyFill="1" applyBorder="1" applyAlignment="1">
      <alignment horizontal="right" vertical="center"/>
    </xf>
    <xf numFmtId="0" fontId="5" fillId="0" borderId="0" xfId="1" applyAlignment="1">
      <alignment horizontal="right"/>
    </xf>
    <xf numFmtId="3" fontId="5" fillId="0" borderId="0" xfId="1" applyNumberFormat="1" applyFont="1" applyBorder="1" applyAlignment="1">
      <alignment horizontal="right" vertical="center"/>
    </xf>
    <xf numFmtId="3" fontId="89" fillId="0" borderId="0" xfId="1" applyNumberFormat="1" applyFont="1" applyAlignment="1">
      <alignment vertical="center"/>
    </xf>
    <xf numFmtId="3" fontId="5" fillId="0" borderId="0" xfId="1" applyNumberFormat="1" applyAlignment="1">
      <alignment vertical="center"/>
    </xf>
    <xf numFmtId="3" fontId="7" fillId="0" borderId="101" xfId="1" applyNumberFormat="1" applyFont="1" applyBorder="1" applyAlignment="1">
      <alignment horizontal="right" vertical="center"/>
    </xf>
    <xf numFmtId="3" fontId="76" fillId="0" borderId="0" xfId="1" applyNumberFormat="1" applyFont="1" applyAlignment="1">
      <alignment horizontal="center"/>
    </xf>
    <xf numFmtId="3" fontId="5" fillId="0" borderId="0" xfId="1" applyNumberFormat="1" applyFont="1" applyAlignment="1">
      <alignment horizontal="center"/>
    </xf>
    <xf numFmtId="0" fontId="49" fillId="4" borderId="0" xfId="1" applyFont="1" applyFill="1" applyBorder="1" applyAlignment="1">
      <alignment horizontal="center" vertical="center"/>
    </xf>
    <xf numFmtId="0" fontId="47" fillId="0" borderId="0" xfId="1" applyFont="1" applyBorder="1" applyAlignment="1">
      <alignment horizontal="center" vertical="center"/>
    </xf>
    <xf numFmtId="3" fontId="47" fillId="0" borderId="0" xfId="1" applyNumberFormat="1" applyFont="1" applyBorder="1" applyAlignment="1">
      <alignment horizontal="right" vertical="center"/>
    </xf>
    <xf numFmtId="3" fontId="47" fillId="0" borderId="0" xfId="1" applyNumberFormat="1" applyFont="1" applyBorder="1" applyAlignment="1">
      <alignment horizontal="right" vertical="center" wrapText="1"/>
    </xf>
    <xf numFmtId="3" fontId="49" fillId="4" borderId="0" xfId="1" applyNumberFormat="1" applyFont="1" applyFill="1" applyBorder="1" applyAlignment="1">
      <alignment horizontal="right" vertical="center"/>
    </xf>
    <xf numFmtId="3" fontId="49" fillId="4" borderId="0" xfId="1" applyNumberFormat="1" applyFont="1" applyFill="1" applyBorder="1" applyAlignment="1">
      <alignment vertical="center"/>
    </xf>
    <xf numFmtId="3" fontId="61" fillId="11" borderId="163" xfId="15" applyNumberFormat="1" applyFont="1" applyFill="1" applyBorder="1" applyAlignment="1">
      <alignment vertical="center"/>
    </xf>
    <xf numFmtId="0" fontId="8" fillId="21" borderId="160" xfId="15" applyFont="1" applyFill="1" applyBorder="1" applyAlignment="1">
      <alignment vertical="center" wrapText="1"/>
    </xf>
    <xf numFmtId="0" fontId="8" fillId="21" borderId="160" xfId="15" quotePrefix="1" applyFont="1" applyFill="1" applyBorder="1" applyAlignment="1">
      <alignment horizontal="left" vertical="center" wrapText="1"/>
    </xf>
    <xf numFmtId="0" fontId="56" fillId="0" borderId="63" xfId="15" applyFont="1" applyBorder="1" applyAlignment="1">
      <alignment vertical="center" wrapText="1"/>
    </xf>
    <xf numFmtId="0" fontId="56" fillId="0" borderId="164" xfId="15" applyFont="1" applyBorder="1" applyAlignment="1">
      <alignment horizontal="center" vertical="center" wrapText="1"/>
    </xf>
    <xf numFmtId="0" fontId="56" fillId="11" borderId="163" xfId="15" applyFont="1" applyFill="1" applyBorder="1" applyAlignment="1">
      <alignment vertical="center" wrapText="1"/>
    </xf>
    <xf numFmtId="0" fontId="42" fillId="11" borderId="163" xfId="15" quotePrefix="1" applyFont="1" applyFill="1" applyBorder="1" applyAlignment="1">
      <alignment horizontal="left" vertical="center" wrapText="1"/>
    </xf>
    <xf numFmtId="0" fontId="42" fillId="11" borderId="63" xfId="15" quotePrefix="1" applyFont="1" applyFill="1" applyBorder="1" applyAlignment="1">
      <alignment horizontal="center" vertical="center" wrapText="1"/>
    </xf>
    <xf numFmtId="0" fontId="42" fillId="11" borderId="165" xfId="15" quotePrefix="1" applyFont="1" applyFill="1" applyBorder="1" applyAlignment="1">
      <alignment horizontal="center" vertical="center" wrapText="1"/>
    </xf>
    <xf numFmtId="0" fontId="8" fillId="21" borderId="164" xfId="15" quotePrefix="1" applyFont="1" applyFill="1" applyBorder="1" applyAlignment="1">
      <alignment horizontal="left" vertical="center" wrapText="1"/>
    </xf>
    <xf numFmtId="0" fontId="56" fillId="0" borderId="164" xfId="15" applyFont="1" applyBorder="1" applyAlignment="1">
      <alignment vertical="center" wrapText="1"/>
    </xf>
    <xf numFmtId="3" fontId="61" fillId="0" borderId="163" xfId="15" applyNumberFormat="1" applyFont="1" applyFill="1" applyBorder="1" applyAlignment="1">
      <alignment vertical="center"/>
    </xf>
    <xf numFmtId="49" fontId="8" fillId="21" borderId="160" xfId="15" applyNumberFormat="1" applyFont="1" applyFill="1" applyBorder="1" applyAlignment="1">
      <alignment horizontal="left" vertical="center" wrapText="1"/>
    </xf>
    <xf numFmtId="3" fontId="61" fillId="21" borderId="163" xfId="15" applyNumberFormat="1" applyFont="1" applyFill="1" applyBorder="1" applyAlignment="1">
      <alignment vertical="center"/>
    </xf>
    <xf numFmtId="0" fontId="56" fillId="0" borderId="165" xfId="15" applyFont="1" applyBorder="1" applyAlignment="1">
      <alignment vertical="center" wrapText="1"/>
    </xf>
    <xf numFmtId="3" fontId="61" fillId="11" borderId="73" xfId="15" applyNumberFormat="1" applyFont="1" applyFill="1" applyBorder="1" applyAlignment="1">
      <alignment vertical="center"/>
    </xf>
    <xf numFmtId="0" fontId="8" fillId="0" borderId="166" xfId="15" applyFont="1" applyFill="1" applyBorder="1" applyAlignment="1">
      <alignment horizontal="center" vertical="center" wrapText="1"/>
    </xf>
    <xf numFmtId="0" fontId="8" fillId="0" borderId="73" xfId="15" applyFont="1" applyFill="1" applyBorder="1" applyAlignment="1">
      <alignment horizontal="center" vertical="center" wrapText="1"/>
    </xf>
    <xf numFmtId="0" fontId="56" fillId="0" borderId="163" xfId="15" applyFont="1" applyBorder="1" applyAlignment="1">
      <alignment horizontal="center" vertical="center" wrapText="1"/>
    </xf>
    <xf numFmtId="0" fontId="56" fillId="0" borderId="67" xfId="15" applyFont="1" applyBorder="1" applyAlignment="1">
      <alignment vertical="center" wrapText="1"/>
    </xf>
    <xf numFmtId="3" fontId="8" fillId="21" borderId="163" xfId="15" applyNumberFormat="1" applyFont="1" applyFill="1" applyBorder="1" applyAlignment="1">
      <alignment vertical="center" wrapText="1"/>
    </xf>
    <xf numFmtId="0" fontId="7" fillId="11" borderId="63" xfId="15" quotePrefix="1" applyFont="1" applyFill="1" applyBorder="1" applyAlignment="1">
      <alignment horizontal="left" vertical="center" wrapText="1"/>
    </xf>
    <xf numFmtId="0" fontId="7" fillId="11" borderId="163" xfId="15" quotePrefix="1" applyFont="1" applyFill="1" applyBorder="1" applyAlignment="1">
      <alignment horizontal="center" vertical="center" wrapText="1"/>
    </xf>
    <xf numFmtId="0" fontId="7" fillId="11" borderId="67" xfId="15" quotePrefix="1" applyFont="1" applyFill="1" applyBorder="1" applyAlignment="1">
      <alignment horizontal="left" vertical="center" wrapText="1"/>
    </xf>
    <xf numFmtId="0" fontId="7" fillId="11" borderId="73" xfId="15" quotePrefix="1" applyFont="1" applyFill="1" applyBorder="1" applyAlignment="1">
      <alignment horizontal="center" vertical="center" wrapText="1"/>
    </xf>
    <xf numFmtId="0" fontId="8" fillId="0" borderId="67" xfId="15" applyFont="1" applyFill="1" applyBorder="1" applyAlignment="1">
      <alignment horizontal="center" vertical="center" wrapText="1"/>
    </xf>
    <xf numFmtId="0" fontId="56" fillId="0" borderId="163" xfId="15" applyFont="1" applyBorder="1" applyAlignment="1">
      <alignment vertical="center" wrapText="1"/>
    </xf>
    <xf numFmtId="3" fontId="61" fillId="21" borderId="73" xfId="15" applyNumberFormat="1" applyFont="1" applyFill="1" applyBorder="1" applyAlignment="1">
      <alignment vertical="center"/>
    </xf>
    <xf numFmtId="0" fontId="42" fillId="0" borderId="63" xfId="15" applyFont="1" applyBorder="1" applyAlignment="1">
      <alignment vertical="center"/>
    </xf>
    <xf numFmtId="49" fontId="42" fillId="0" borderId="163" xfId="15" applyNumberFormat="1" applyFont="1" applyBorder="1" applyAlignment="1">
      <alignment horizontal="center" vertical="center"/>
    </xf>
    <xf numFmtId="0" fontId="42" fillId="0" borderId="63" xfId="15" applyFont="1" applyBorder="1" applyAlignment="1">
      <alignment vertical="center" wrapText="1"/>
    </xf>
    <xf numFmtId="0" fontId="7" fillId="0" borderId="63" xfId="15" applyFont="1" applyBorder="1" applyAlignment="1">
      <alignment vertical="center" wrapText="1"/>
    </xf>
    <xf numFmtId="49" fontId="7" fillId="0" borderId="163" xfId="15" applyNumberFormat="1" applyFont="1" applyFill="1" applyBorder="1" applyAlignment="1">
      <alignment horizontal="center" vertical="center" wrapText="1"/>
    </xf>
    <xf numFmtId="0" fontId="56" fillId="11" borderId="165" xfId="15" applyFont="1" applyFill="1" applyBorder="1" applyAlignment="1">
      <alignment horizontal="left" vertical="center" wrapText="1"/>
    </xf>
    <xf numFmtId="0" fontId="56" fillId="0" borderId="166" xfId="15" applyFont="1" applyBorder="1" applyAlignment="1">
      <alignment vertical="center" wrapText="1"/>
    </xf>
    <xf numFmtId="0" fontId="56" fillId="0" borderId="26" xfId="15" applyFont="1" applyBorder="1" applyAlignment="1">
      <alignment vertical="center" wrapText="1"/>
    </xf>
    <xf numFmtId="0" fontId="56" fillId="0" borderId="9" xfId="15" applyFont="1" applyBorder="1" applyAlignment="1">
      <alignment horizontal="center" vertical="center" wrapText="1"/>
    </xf>
    <xf numFmtId="0" fontId="7" fillId="11" borderId="163" xfId="15" applyFont="1" applyFill="1" applyBorder="1" applyAlignment="1">
      <alignment horizontal="left" vertical="center" wrapText="1"/>
    </xf>
    <xf numFmtId="49" fontId="7" fillId="11" borderId="164" xfId="15" applyNumberFormat="1" applyFont="1" applyFill="1" applyBorder="1" applyAlignment="1">
      <alignment horizontal="center" vertical="center" wrapText="1"/>
    </xf>
    <xf numFmtId="0" fontId="7" fillId="11" borderId="164" xfId="15" quotePrefix="1" applyFont="1" applyFill="1" applyBorder="1" applyAlignment="1">
      <alignment horizontal="center" vertical="center" wrapText="1"/>
    </xf>
    <xf numFmtId="0" fontId="8" fillId="21" borderId="163" xfId="15" quotePrefix="1" applyFont="1" applyFill="1" applyBorder="1" applyAlignment="1">
      <alignment horizontal="left" vertical="center" wrapText="1"/>
    </xf>
    <xf numFmtId="0" fontId="7" fillId="0" borderId="161" xfId="15" applyFont="1" applyBorder="1" applyAlignment="1">
      <alignment horizontal="left" vertical="center" wrapText="1"/>
    </xf>
    <xf numFmtId="0" fontId="7" fillId="0" borderId="160" xfId="15" applyFont="1" applyBorder="1" applyAlignment="1">
      <alignment horizontal="center" vertical="center" wrapText="1"/>
    </xf>
    <xf numFmtId="0" fontId="8" fillId="0" borderId="163" xfId="15" applyFont="1" applyFill="1" applyBorder="1" applyAlignment="1">
      <alignment horizontal="center" vertical="center" wrapText="1"/>
    </xf>
    <xf numFmtId="0" fontId="7" fillId="0" borderId="63" xfId="15" applyFont="1" applyBorder="1" applyAlignment="1">
      <alignment horizontal="left" vertical="center" wrapText="1"/>
    </xf>
    <xf numFmtId="0" fontId="7" fillId="0" borderId="67" xfId="15" applyFont="1" applyBorder="1" applyAlignment="1">
      <alignment horizontal="left" vertical="center" wrapText="1"/>
    </xf>
    <xf numFmtId="0" fontId="62" fillId="0" borderId="166" xfId="15" applyFont="1" applyBorder="1" applyAlignment="1">
      <alignment horizontal="center" vertical="center" wrapText="1"/>
    </xf>
    <xf numFmtId="0" fontId="7" fillId="0" borderId="163" xfId="15" applyFont="1" applyBorder="1" applyAlignment="1">
      <alignment wrapText="1"/>
    </xf>
    <xf numFmtId="0" fontId="7" fillId="11" borderId="163" xfId="15" quotePrefix="1" applyFont="1" applyFill="1" applyBorder="1" applyAlignment="1">
      <alignment horizontal="left" vertical="center" wrapText="1"/>
    </xf>
    <xf numFmtId="0" fontId="7" fillId="0" borderId="163" xfId="15" applyFont="1" applyBorder="1" applyAlignment="1">
      <alignment horizontal="left" vertical="center" wrapText="1"/>
    </xf>
    <xf numFmtId="0" fontId="42" fillId="0" borderId="73" xfId="15" applyFont="1" applyBorder="1" applyAlignment="1">
      <alignment horizontal="left" vertical="center" wrapText="1"/>
    </xf>
    <xf numFmtId="0" fontId="62" fillId="11" borderId="166" xfId="1" applyFont="1" applyFill="1" applyBorder="1" applyAlignment="1">
      <alignment horizontal="center" vertical="center" wrapText="1"/>
    </xf>
    <xf numFmtId="0" fontId="68" fillId="11" borderId="63" xfId="1" applyFont="1" applyFill="1" applyBorder="1" applyAlignment="1">
      <alignment vertical="center" wrapText="1"/>
    </xf>
    <xf numFmtId="0" fontId="68" fillId="11" borderId="164" xfId="1" applyFont="1" applyFill="1" applyBorder="1" applyAlignment="1">
      <alignment horizontal="center" vertical="center" wrapText="1"/>
    </xf>
    <xf numFmtId="49" fontId="68" fillId="11" borderId="164" xfId="1" applyNumberFormat="1" applyFont="1" applyFill="1" applyBorder="1" applyAlignment="1">
      <alignment horizontal="center" vertical="center" wrapText="1"/>
    </xf>
    <xf numFmtId="0" fontId="42" fillId="11" borderId="63" xfId="1" applyFont="1" applyFill="1" applyBorder="1" applyAlignment="1">
      <alignment horizontal="left" vertical="center" wrapText="1"/>
    </xf>
    <xf numFmtId="0" fontId="42" fillId="11" borderId="164" xfId="1" applyFont="1" applyFill="1" applyBorder="1" applyAlignment="1">
      <alignment horizontal="center" vertical="center" wrapText="1"/>
    </xf>
    <xf numFmtId="0" fontId="69" fillId="21" borderId="164" xfId="1" applyFont="1" applyFill="1" applyBorder="1" applyAlignment="1">
      <alignment horizontal="left" vertical="center" wrapText="1"/>
    </xf>
    <xf numFmtId="3" fontId="70" fillId="21" borderId="163" xfId="1" applyNumberFormat="1" applyFont="1" applyFill="1" applyBorder="1" applyAlignment="1">
      <alignment vertical="center" wrapText="1"/>
    </xf>
    <xf numFmtId="0" fontId="64" fillId="11" borderId="63" xfId="1" applyFont="1" applyFill="1" applyBorder="1" applyAlignment="1">
      <alignment vertical="center" wrapText="1"/>
    </xf>
    <xf numFmtId="0" fontId="64" fillId="11" borderId="164" xfId="1" applyFont="1" applyFill="1" applyBorder="1" applyAlignment="1">
      <alignment horizontal="center" vertical="center" wrapText="1"/>
    </xf>
    <xf numFmtId="0" fontId="69" fillId="21" borderId="164" xfId="1" applyFont="1" applyFill="1" applyBorder="1" applyAlignment="1">
      <alignment horizontal="center" vertical="center" wrapText="1"/>
    </xf>
    <xf numFmtId="0" fontId="69" fillId="11" borderId="166" xfId="1" applyFont="1" applyFill="1" applyBorder="1" applyAlignment="1">
      <alignment horizontal="left" vertical="center" wrapText="1"/>
    </xf>
    <xf numFmtId="0" fontId="42" fillId="11" borderId="165" xfId="1" applyFont="1" applyFill="1" applyBorder="1" applyAlignment="1">
      <alignment horizontal="left" vertical="center" wrapText="1"/>
    </xf>
    <xf numFmtId="0" fontId="42" fillId="11" borderId="163" xfId="1" applyFont="1" applyFill="1" applyBorder="1" applyAlignment="1">
      <alignment horizontal="center" vertical="center" wrapText="1"/>
    </xf>
    <xf numFmtId="0" fontId="69" fillId="21" borderId="163" xfId="1" applyFont="1" applyFill="1" applyBorder="1" applyAlignment="1">
      <alignment horizontal="center" vertical="center" wrapText="1"/>
    </xf>
    <xf numFmtId="0" fontId="69" fillId="11" borderId="73" xfId="1" applyFont="1" applyFill="1" applyBorder="1" applyAlignment="1">
      <alignment horizontal="left" vertical="center" wrapText="1"/>
    </xf>
    <xf numFmtId="0" fontId="42" fillId="11" borderId="160" xfId="1" applyFont="1" applyFill="1" applyBorder="1" applyAlignment="1">
      <alignment horizontal="center" vertical="center" wrapText="1"/>
    </xf>
    <xf numFmtId="49" fontId="56" fillId="0" borderId="164" xfId="15" applyNumberFormat="1" applyFont="1" applyBorder="1" applyAlignment="1">
      <alignment horizontal="center" vertical="center" wrapText="1"/>
    </xf>
    <xf numFmtId="49" fontId="69" fillId="21" borderId="164" xfId="1" applyNumberFormat="1" applyFont="1" applyFill="1" applyBorder="1" applyAlignment="1">
      <alignment horizontal="center" vertical="center" wrapText="1"/>
    </xf>
    <xf numFmtId="0" fontId="42" fillId="11" borderId="163" xfId="1" applyFont="1" applyFill="1" applyBorder="1" applyAlignment="1">
      <alignment horizontal="left" vertical="center" wrapText="1"/>
    </xf>
    <xf numFmtId="0" fontId="42" fillId="11" borderId="165" xfId="1" applyFont="1" applyFill="1" applyBorder="1" applyAlignment="1">
      <alignment horizontal="center" vertical="center" wrapText="1"/>
    </xf>
    <xf numFmtId="0" fontId="71" fillId="11" borderId="166" xfId="1" applyFont="1" applyFill="1" applyBorder="1" applyAlignment="1">
      <alignment horizontal="center" vertical="center" wrapText="1"/>
    </xf>
    <xf numFmtId="0" fontId="64" fillId="11" borderId="166" xfId="1" applyFont="1" applyFill="1" applyBorder="1" applyAlignment="1">
      <alignment vertical="center" wrapText="1"/>
    </xf>
    <xf numFmtId="49" fontId="42" fillId="11" borderId="164" xfId="1" applyNumberFormat="1" applyFont="1" applyFill="1" applyBorder="1" applyAlignment="1">
      <alignment horizontal="center" vertical="center" wrapText="1"/>
    </xf>
    <xf numFmtId="0" fontId="69" fillId="11" borderId="166" xfId="1" applyFont="1" applyFill="1" applyBorder="1" applyAlignment="1">
      <alignment horizontal="center" vertical="center" wrapText="1"/>
    </xf>
    <xf numFmtId="0" fontId="69" fillId="21" borderId="160" xfId="1" applyFont="1" applyFill="1" applyBorder="1" applyAlignment="1">
      <alignment horizontal="left" vertical="center" wrapText="1"/>
    </xf>
    <xf numFmtId="49" fontId="64" fillId="11" borderId="164" xfId="1" applyNumberFormat="1" applyFont="1" applyFill="1" applyBorder="1" applyAlignment="1">
      <alignment horizontal="center" vertical="center" wrapText="1"/>
    </xf>
    <xf numFmtId="49" fontId="42" fillId="11" borderId="163" xfId="1" applyNumberFormat="1" applyFont="1" applyFill="1" applyBorder="1" applyAlignment="1">
      <alignment horizontal="center" vertical="center" wrapText="1"/>
    </xf>
    <xf numFmtId="0" fontId="71" fillId="11" borderId="163" xfId="1" applyFont="1" applyFill="1" applyBorder="1" applyAlignment="1">
      <alignment horizontal="center" vertical="center" wrapText="1"/>
    </xf>
    <xf numFmtId="0" fontId="56" fillId="11" borderId="63" xfId="1" applyFont="1" applyFill="1" applyBorder="1" applyAlignment="1">
      <alignment vertical="center" wrapText="1"/>
    </xf>
    <xf numFmtId="49" fontId="56" fillId="11" borderId="164" xfId="1" applyNumberFormat="1" applyFont="1" applyFill="1" applyBorder="1" applyAlignment="1">
      <alignment horizontal="center" vertical="center" wrapText="1"/>
    </xf>
    <xf numFmtId="0" fontId="69" fillId="11" borderId="163" xfId="1" applyFont="1" applyFill="1" applyBorder="1" applyAlignment="1">
      <alignment horizontal="center" vertical="center" wrapText="1"/>
    </xf>
    <xf numFmtId="0" fontId="42" fillId="11" borderId="63" xfId="1" applyFont="1" applyFill="1" applyBorder="1" applyAlignment="1">
      <alignment horizontal="center" vertical="center" wrapText="1"/>
    </xf>
    <xf numFmtId="0" fontId="5" fillId="21" borderId="163" xfId="1" applyFont="1" applyFill="1" applyBorder="1" applyAlignment="1">
      <alignment vertical="center"/>
    </xf>
    <xf numFmtId="3" fontId="65" fillId="21" borderId="163" xfId="1" applyNumberFormat="1" applyFont="1" applyFill="1" applyBorder="1" applyAlignment="1">
      <alignment vertical="center"/>
    </xf>
    <xf numFmtId="0" fontId="7" fillId="0" borderId="58" xfId="1" applyFont="1" applyBorder="1" applyAlignment="1">
      <alignment horizontal="center" vertical="center"/>
    </xf>
    <xf numFmtId="0" fontId="7" fillId="0" borderId="53" xfId="1" applyFont="1" applyBorder="1" applyAlignment="1">
      <alignment horizontal="center" vertical="center"/>
    </xf>
    <xf numFmtId="0" fontId="8" fillId="0" borderId="53" xfId="1" applyFont="1" applyFill="1" applyBorder="1" applyAlignment="1">
      <alignment horizontal="center" vertical="center"/>
    </xf>
    <xf numFmtId="0" fontId="8" fillId="0" borderId="53" xfId="1" applyFont="1" applyBorder="1" applyAlignment="1">
      <alignment horizontal="center" vertical="center"/>
    </xf>
    <xf numFmtId="49" fontId="12" fillId="0" borderId="58" xfId="1" applyNumberFormat="1" applyFont="1" applyFill="1" applyBorder="1" applyAlignment="1">
      <alignment horizontal="center" vertical="center"/>
    </xf>
    <xf numFmtId="0" fontId="12" fillId="0" borderId="58" xfId="1" applyFont="1" applyFill="1" applyBorder="1" applyAlignment="1">
      <alignment horizontal="center" vertical="center" wrapText="1"/>
    </xf>
    <xf numFmtId="0" fontId="7" fillId="11" borderId="124" xfId="1" applyFont="1" applyFill="1" applyBorder="1" applyAlignment="1">
      <alignment horizontal="left" vertical="center" wrapText="1"/>
    </xf>
    <xf numFmtId="0" fontId="74" fillId="0" borderId="155" xfId="4" applyFont="1" applyBorder="1" applyAlignment="1">
      <alignment horizontal="center" vertical="center"/>
    </xf>
    <xf numFmtId="0" fontId="42" fillId="0" borderId="88" xfId="4" applyFont="1" applyBorder="1" applyAlignment="1">
      <alignment horizontal="left" vertical="center" wrapText="1"/>
    </xf>
    <xf numFmtId="0" fontId="42" fillId="0" borderId="152" xfId="4" applyNumberFormat="1" applyFont="1" applyBorder="1" applyAlignment="1">
      <alignment horizontal="center" vertical="center"/>
    </xf>
    <xf numFmtId="3" fontId="42" fillId="11" borderId="152" xfId="4" applyNumberFormat="1" applyFont="1" applyFill="1" applyBorder="1" applyAlignment="1">
      <alignment vertical="center"/>
    </xf>
    <xf numFmtId="3" fontId="42" fillId="11" borderId="152" xfId="4" applyNumberFormat="1" applyFont="1" applyFill="1" applyBorder="1" applyAlignment="1">
      <alignment horizontal="right" vertical="center"/>
    </xf>
    <xf numFmtId="0" fontId="42" fillId="11" borderId="103" xfId="4" applyFont="1" applyFill="1" applyBorder="1" applyAlignment="1">
      <alignment vertical="center" wrapText="1"/>
    </xf>
    <xf numFmtId="0" fontId="47" fillId="17" borderId="58" xfId="1" applyFont="1" applyFill="1" applyBorder="1" applyAlignment="1">
      <alignment horizontal="center" vertical="center"/>
    </xf>
    <xf numFmtId="0" fontId="12" fillId="0" borderId="38" xfId="1" applyFont="1" applyBorder="1" applyAlignment="1">
      <alignment horizontal="center" vertical="center"/>
    </xf>
    <xf numFmtId="3" fontId="12" fillId="0" borderId="86" xfId="1" applyNumberFormat="1" applyFont="1" applyBorder="1" applyAlignment="1">
      <alignment horizontal="right" vertical="center"/>
    </xf>
    <xf numFmtId="0" fontId="7" fillId="0" borderId="152" xfId="1" applyFont="1" applyBorder="1" applyAlignment="1">
      <alignment horizontal="center" vertical="center"/>
    </xf>
    <xf numFmtId="0" fontId="7" fillId="17" borderId="152" xfId="1" applyFont="1" applyFill="1" applyBorder="1" applyAlignment="1">
      <alignment horizontal="center" vertical="center"/>
    </xf>
    <xf numFmtId="3" fontId="7" fillId="0" borderId="153" xfId="1" applyNumberFormat="1" applyFont="1" applyBorder="1" applyAlignment="1">
      <alignment horizontal="right" vertical="center"/>
    </xf>
    <xf numFmtId="0" fontId="12" fillId="0" borderId="101" xfId="1" applyFont="1" applyFill="1" applyBorder="1" applyAlignment="1">
      <alignment horizontal="center" vertical="center" wrapText="1"/>
    </xf>
    <xf numFmtId="0" fontId="12" fillId="18" borderId="38" xfId="1" applyFont="1" applyFill="1" applyBorder="1" applyAlignment="1">
      <alignment horizontal="center" vertical="center"/>
    </xf>
    <xf numFmtId="3" fontId="12" fillId="0" borderId="58" xfId="1" applyNumberFormat="1" applyFont="1" applyFill="1" applyBorder="1" applyAlignment="1">
      <alignment horizontal="right" vertical="center"/>
    </xf>
    <xf numFmtId="3" fontId="12" fillId="0" borderId="83" xfId="1" applyNumberFormat="1" applyFont="1" applyFill="1" applyBorder="1" applyAlignment="1">
      <alignment horizontal="right" vertical="center"/>
    </xf>
    <xf numFmtId="3" fontId="12" fillId="17" borderId="101" xfId="1" applyNumberFormat="1" applyFont="1" applyFill="1" applyBorder="1" applyAlignment="1">
      <alignment horizontal="right" vertical="center"/>
    </xf>
    <xf numFmtId="0" fontId="12" fillId="17" borderId="38" xfId="1" applyFont="1" applyFill="1" applyBorder="1" applyAlignment="1">
      <alignment horizontal="center" vertical="center"/>
    </xf>
    <xf numFmtId="3" fontId="12" fillId="17" borderId="38" xfId="1" applyNumberFormat="1" applyFont="1" applyFill="1" applyBorder="1" applyAlignment="1">
      <alignment horizontal="right" vertical="center"/>
    </xf>
    <xf numFmtId="3" fontId="12" fillId="17" borderId="86" xfId="1" applyNumberFormat="1" applyFont="1" applyFill="1" applyBorder="1" applyAlignment="1">
      <alignment horizontal="right" vertical="center"/>
    </xf>
    <xf numFmtId="0" fontId="8" fillId="0" borderId="152" xfId="1" applyFont="1" applyFill="1" applyBorder="1" applyAlignment="1">
      <alignment horizontal="center" vertical="center" wrapText="1"/>
    </xf>
    <xf numFmtId="3" fontId="8" fillId="0" borderId="152" xfId="1" applyNumberFormat="1" applyFont="1" applyFill="1" applyBorder="1" applyAlignment="1">
      <alignment horizontal="right" vertical="center"/>
    </xf>
    <xf numFmtId="3" fontId="8" fillId="0" borderId="153" xfId="1" applyNumberFormat="1" applyFont="1" applyFill="1" applyBorder="1" applyAlignment="1">
      <alignment horizontal="right" vertical="center"/>
    </xf>
    <xf numFmtId="0" fontId="12" fillId="17" borderId="101" xfId="1" applyFont="1" applyFill="1" applyBorder="1" applyAlignment="1">
      <alignment horizontal="center" vertical="center" wrapText="1"/>
    </xf>
    <xf numFmtId="49" fontId="49" fillId="17" borderId="38" xfId="1" applyNumberFormat="1" applyFont="1" applyFill="1" applyBorder="1" applyAlignment="1">
      <alignment horizontal="center" vertical="center"/>
    </xf>
    <xf numFmtId="3" fontId="45" fillId="0" borderId="152" xfId="1" applyNumberFormat="1" applyFont="1" applyFill="1" applyBorder="1" applyAlignment="1">
      <alignment horizontal="right" vertical="center"/>
    </xf>
    <xf numFmtId="3" fontId="45" fillId="0" borderId="153" xfId="1" applyNumberFormat="1" applyFont="1" applyFill="1" applyBorder="1" applyAlignment="1">
      <alignment horizontal="right" vertical="center"/>
    </xf>
    <xf numFmtId="0" fontId="56" fillId="0" borderId="80" xfId="15" applyFont="1" applyBorder="1" applyAlignment="1">
      <alignment vertical="center" wrapText="1"/>
    </xf>
    <xf numFmtId="0" fontId="56" fillId="0" borderId="78" xfId="15" applyFont="1" applyBorder="1" applyAlignment="1">
      <alignment vertical="center" wrapText="1"/>
    </xf>
    <xf numFmtId="0" fontId="56" fillId="0" borderId="10" xfId="15" applyFont="1" applyBorder="1" applyAlignment="1">
      <alignment vertical="center" wrapText="1"/>
    </xf>
    <xf numFmtId="0" fontId="11" fillId="2" borderId="12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0" fontId="76" fillId="21" borderId="71" xfId="1" applyFont="1" applyFill="1" applyBorder="1" applyAlignment="1">
      <alignment horizontal="left" vertical="center"/>
    </xf>
    <xf numFmtId="0" fontId="76" fillId="21" borderId="70" xfId="1" applyFont="1" applyFill="1" applyBorder="1" applyAlignment="1">
      <alignment horizontal="left" vertical="center"/>
    </xf>
    <xf numFmtId="0" fontId="76" fillId="21" borderId="92" xfId="1" applyFont="1" applyFill="1" applyBorder="1" applyAlignment="1">
      <alignment horizontal="left" vertical="center"/>
    </xf>
    <xf numFmtId="0" fontId="76" fillId="21" borderId="164" xfId="1" applyFont="1" applyFill="1" applyBorder="1" applyAlignment="1">
      <alignment horizontal="left" vertical="center"/>
    </xf>
    <xf numFmtId="0" fontId="76" fillId="21" borderId="63" xfId="1" applyFont="1" applyFill="1" applyBorder="1" applyAlignment="1">
      <alignment horizontal="left" vertical="center"/>
    </xf>
    <xf numFmtId="0" fontId="76" fillId="21" borderId="166" xfId="1" applyFont="1" applyFill="1" applyBorder="1" applyAlignment="1">
      <alignment horizontal="left" vertical="center"/>
    </xf>
    <xf numFmtId="0" fontId="76" fillId="21" borderId="160" xfId="1" applyFont="1" applyFill="1" applyBorder="1" applyAlignment="1">
      <alignment horizontal="left" vertical="center"/>
    </xf>
    <xf numFmtId="0" fontId="76" fillId="21" borderId="161" xfId="1" applyFont="1" applyFill="1" applyBorder="1" applyAlignment="1">
      <alignment horizontal="left" vertical="center"/>
    </xf>
    <xf numFmtId="0" fontId="76" fillId="21" borderId="168" xfId="1" applyFont="1" applyFill="1" applyBorder="1" applyAlignment="1">
      <alignment horizontal="left" vertical="center"/>
    </xf>
    <xf numFmtId="0" fontId="12" fillId="0" borderId="21" xfId="1" applyFont="1" applyFill="1" applyBorder="1" applyAlignment="1">
      <alignment horizontal="center" vertical="center" wrapText="1"/>
    </xf>
    <xf numFmtId="0" fontId="69" fillId="21" borderId="165" xfId="1" applyFont="1" applyFill="1" applyBorder="1" applyAlignment="1">
      <alignment horizontal="left" vertical="center" wrapText="1"/>
    </xf>
    <xf numFmtId="0" fontId="69" fillId="11" borderId="8" xfId="1" applyFont="1" applyFill="1" applyBorder="1" applyAlignment="1">
      <alignment horizontal="center" vertical="center" wrapText="1"/>
    </xf>
    <xf numFmtId="0" fontId="69" fillId="11" borderId="94" xfId="1" applyFont="1" applyFill="1" applyBorder="1" applyAlignment="1">
      <alignment horizontal="center" vertical="center" wrapText="1"/>
    </xf>
    <xf numFmtId="0" fontId="69" fillId="21" borderId="67" xfId="1" applyFont="1" applyFill="1" applyBorder="1" applyAlignment="1">
      <alignment horizontal="left" vertical="center" wrapText="1"/>
    </xf>
    <xf numFmtId="0" fontId="63" fillId="11" borderId="24" xfId="1" applyFont="1" applyFill="1" applyBorder="1" applyAlignment="1">
      <alignment horizontal="center" vertical="center" wrapText="1"/>
    </xf>
    <xf numFmtId="0" fontId="63" fillId="11" borderId="21" xfId="1" applyFont="1" applyFill="1" applyBorder="1" applyAlignment="1">
      <alignment horizontal="center" vertical="center" wrapText="1"/>
    </xf>
    <xf numFmtId="0" fontId="63" fillId="11" borderId="17" xfId="1" applyFont="1" applyFill="1" applyBorder="1" applyAlignment="1">
      <alignment horizontal="center" vertical="center" wrapText="1"/>
    </xf>
    <xf numFmtId="0" fontId="69" fillId="21" borderId="0" xfId="1" applyFont="1" applyFill="1" applyBorder="1" applyAlignment="1">
      <alignment horizontal="left" vertical="center" wrapText="1"/>
    </xf>
    <xf numFmtId="0" fontId="69" fillId="21" borderId="63" xfId="1" applyFont="1" applyFill="1" applyBorder="1" applyAlignment="1">
      <alignment horizontal="left" vertical="center" wrapText="1"/>
    </xf>
    <xf numFmtId="0" fontId="63" fillId="0" borderId="21" xfId="1" applyFont="1" applyFill="1" applyBorder="1" applyAlignment="1">
      <alignment horizontal="center" vertical="center" wrapText="1"/>
    </xf>
    <xf numFmtId="0" fontId="69" fillId="21" borderId="161" xfId="1" applyFont="1" applyFill="1" applyBorder="1" applyAlignment="1">
      <alignment horizontal="left" vertical="center" wrapText="1"/>
    </xf>
    <xf numFmtId="0" fontId="69" fillId="21" borderId="160" xfId="1" applyFont="1" applyFill="1" applyBorder="1" applyAlignment="1">
      <alignment horizontal="left" vertical="center" wrapText="1"/>
    </xf>
    <xf numFmtId="0" fontId="56" fillId="11" borderId="21" xfId="1" applyFont="1" applyFill="1" applyBorder="1" applyAlignment="1">
      <alignment horizontal="center" vertical="center" wrapText="1"/>
    </xf>
    <xf numFmtId="0" fontId="71" fillId="11" borderId="166" xfId="1" applyFont="1" applyFill="1" applyBorder="1" applyAlignment="1">
      <alignment horizontal="center" vertical="center" wrapText="1"/>
    </xf>
    <xf numFmtId="0" fontId="69" fillId="21" borderId="94" xfId="1" applyFont="1" applyFill="1" applyBorder="1" applyAlignment="1">
      <alignment horizontal="left" vertical="center" wrapText="1"/>
    </xf>
    <xf numFmtId="0" fontId="69" fillId="21" borderId="29" xfId="1" applyFont="1" applyFill="1" applyBorder="1" applyAlignment="1">
      <alignment horizontal="left" vertical="center" wrapText="1"/>
    </xf>
    <xf numFmtId="0" fontId="69" fillId="11" borderId="29" xfId="1" applyFont="1" applyFill="1" applyBorder="1" applyAlignment="1">
      <alignment horizontal="center" vertical="center" wrapText="1"/>
    </xf>
    <xf numFmtId="0" fontId="69" fillId="21" borderId="70" xfId="1" applyFont="1" applyFill="1" applyBorder="1" applyAlignment="1">
      <alignment horizontal="left" vertical="center" wrapText="1"/>
    </xf>
    <xf numFmtId="0" fontId="69" fillId="21" borderId="92" xfId="1" applyFont="1" applyFill="1" applyBorder="1" applyAlignment="1">
      <alignment horizontal="left" vertical="center" wrapText="1"/>
    </xf>
    <xf numFmtId="0" fontId="69" fillId="21" borderId="95" xfId="1" applyFont="1" applyFill="1" applyBorder="1" applyAlignment="1">
      <alignment horizontal="left" vertical="center" wrapText="1"/>
    </xf>
    <xf numFmtId="0" fontId="56" fillId="0" borderId="29" xfId="15" applyFont="1" applyBorder="1" applyAlignment="1">
      <alignment horizontal="left" vertical="center" wrapText="1"/>
    </xf>
    <xf numFmtId="0" fontId="56" fillId="0" borderId="8" xfId="15" applyFont="1" applyBorder="1" applyAlignment="1">
      <alignment horizontal="left" vertical="center" wrapText="1"/>
    </xf>
    <xf numFmtId="0" fontId="56" fillId="0" borderId="94" xfId="15" applyFont="1" applyBorder="1" applyAlignment="1">
      <alignment horizontal="left" vertical="center" wrapText="1"/>
    </xf>
    <xf numFmtId="0" fontId="42" fillId="11" borderId="73" xfId="1" applyFont="1" applyFill="1" applyBorder="1" applyAlignment="1">
      <alignment horizontal="center" vertical="center" wrapText="1"/>
    </xf>
    <xf numFmtId="0" fontId="42" fillId="11" borderId="21" xfId="1" applyFont="1" applyFill="1" applyBorder="1" applyAlignment="1">
      <alignment horizontal="center" vertical="center" wrapText="1"/>
    </xf>
    <xf numFmtId="0" fontId="56" fillId="11" borderId="24" xfId="1" applyFont="1" applyFill="1" applyBorder="1" applyAlignment="1">
      <alignment horizontal="center" vertical="center" wrapText="1"/>
    </xf>
    <xf numFmtId="0" fontId="8" fillId="21" borderId="165" xfId="1" applyFont="1" applyFill="1" applyBorder="1" applyAlignment="1">
      <alignment horizontal="left" vertical="center" wrapText="1"/>
    </xf>
    <xf numFmtId="0" fontId="8" fillId="21" borderId="67" xfId="1" applyFont="1" applyFill="1" applyBorder="1" applyAlignment="1">
      <alignment horizontal="left" vertical="center" wrapText="1"/>
    </xf>
    <xf numFmtId="0" fontId="56" fillId="0" borderId="24" xfId="15" applyFont="1" applyBorder="1" applyAlignment="1">
      <alignment horizontal="center" vertical="center" wrapText="1"/>
    </xf>
    <xf numFmtId="0" fontId="56" fillId="0" borderId="21" xfId="15" applyFont="1" applyBorder="1" applyAlignment="1">
      <alignment horizontal="center" vertical="center" wrapText="1"/>
    </xf>
    <xf numFmtId="0" fontId="56" fillId="0" borderId="17" xfId="15" applyFont="1" applyBorder="1" applyAlignment="1">
      <alignment horizontal="center" vertical="center" wrapText="1"/>
    </xf>
    <xf numFmtId="0" fontId="8" fillId="21" borderId="165" xfId="15" applyFont="1" applyFill="1" applyBorder="1" applyAlignment="1">
      <alignment horizontal="left" vertical="center" wrapText="1"/>
    </xf>
    <xf numFmtId="0" fontId="8" fillId="21" borderId="67" xfId="15" applyFont="1" applyFill="1" applyBorder="1" applyAlignment="1">
      <alignment horizontal="left" vertical="center" wrapText="1"/>
    </xf>
    <xf numFmtId="0" fontId="8" fillId="21" borderId="29" xfId="15" quotePrefix="1" applyFont="1" applyFill="1" applyBorder="1" applyAlignment="1">
      <alignment horizontal="left" vertical="center" wrapText="1"/>
    </xf>
    <xf numFmtId="0" fontId="62" fillId="0" borderId="166" xfId="15" applyFont="1" applyBorder="1" applyAlignment="1">
      <alignment horizontal="center" vertical="center" wrapText="1"/>
    </xf>
    <xf numFmtId="0" fontId="8" fillId="21" borderId="67" xfId="15" quotePrefix="1" applyFont="1" applyFill="1" applyBorder="1" applyAlignment="1">
      <alignment horizontal="left" vertical="center" wrapText="1"/>
    </xf>
    <xf numFmtId="0" fontId="62" fillId="0" borderId="29" xfId="15" applyFont="1" applyBorder="1" applyAlignment="1">
      <alignment horizontal="center" vertical="center" wrapText="1"/>
    </xf>
    <xf numFmtId="0" fontId="62" fillId="0" borderId="94" xfId="15" applyFont="1" applyBorder="1" applyAlignment="1">
      <alignment horizontal="center" vertical="center" wrapText="1"/>
    </xf>
    <xf numFmtId="0" fontId="8" fillId="21" borderId="155" xfId="15" applyFont="1" applyFill="1" applyBorder="1" applyAlignment="1">
      <alignment horizontal="left" vertical="center" wrapText="1"/>
    </xf>
    <xf numFmtId="0" fontId="8" fillId="21" borderId="167" xfId="15" quotePrefix="1" applyFont="1" applyFill="1" applyBorder="1" applyAlignment="1">
      <alignment horizontal="left" vertical="center" wrapText="1"/>
    </xf>
    <xf numFmtId="0" fontId="8" fillId="21" borderId="0" xfId="15" applyFont="1" applyFill="1" applyBorder="1" applyAlignment="1">
      <alignment horizontal="left" vertical="center" wrapText="1"/>
    </xf>
    <xf numFmtId="0" fontId="8" fillId="21" borderId="165" xfId="15" quotePrefix="1" applyFont="1" applyFill="1" applyBorder="1" applyAlignment="1">
      <alignment horizontal="left" vertical="center" wrapText="1"/>
    </xf>
    <xf numFmtId="0" fontId="7" fillId="11" borderId="73" xfId="15" quotePrefix="1" applyFont="1" applyFill="1" applyBorder="1" applyAlignment="1">
      <alignment horizontal="center" vertical="center" wrapText="1"/>
    </xf>
    <xf numFmtId="0" fontId="7" fillId="11" borderId="22" xfId="15" quotePrefix="1" applyFont="1" applyFill="1" applyBorder="1" applyAlignment="1">
      <alignment horizontal="center" vertical="center" wrapText="1"/>
    </xf>
    <xf numFmtId="0" fontId="8" fillId="21" borderId="63" xfId="15" applyFont="1" applyFill="1" applyBorder="1" applyAlignment="1">
      <alignment horizontal="left" vertical="center" wrapText="1"/>
    </xf>
    <xf numFmtId="0" fontId="8" fillId="21" borderId="166" xfId="15" quotePrefix="1" applyFont="1" applyFill="1" applyBorder="1" applyAlignment="1">
      <alignment horizontal="left" vertical="center" wrapText="1"/>
    </xf>
    <xf numFmtId="0" fontId="8" fillId="0" borderId="0" xfId="15" applyFont="1" applyBorder="1" applyAlignment="1">
      <alignment horizontal="center" vertical="center" wrapText="1"/>
    </xf>
    <xf numFmtId="0" fontId="8" fillId="0" borderId="44" xfId="15" applyFont="1" applyBorder="1" applyAlignment="1">
      <alignment horizontal="center" vertical="center" wrapText="1"/>
    </xf>
    <xf numFmtId="0" fontId="7" fillId="0" borderId="73" xfId="15" quotePrefix="1" applyFont="1" applyBorder="1" applyAlignment="1">
      <alignment horizontal="center" vertical="center" wrapText="1"/>
    </xf>
    <xf numFmtId="0" fontId="7" fillId="0" borderId="17" xfId="15" quotePrefix="1" applyFont="1" applyBorder="1" applyAlignment="1">
      <alignment horizontal="center" vertical="center" wrapText="1"/>
    </xf>
    <xf numFmtId="0" fontId="62" fillId="0" borderId="8" xfId="15" applyFont="1" applyBorder="1" applyAlignment="1">
      <alignment horizontal="center" vertical="center" wrapText="1"/>
    </xf>
    <xf numFmtId="0" fontId="56" fillId="11" borderId="29" xfId="15" applyFont="1" applyFill="1" applyBorder="1" applyAlignment="1">
      <alignment horizontal="left" vertical="center" wrapText="1"/>
    </xf>
    <xf numFmtId="0" fontId="56" fillId="11" borderId="8" xfId="15" applyFont="1" applyFill="1" applyBorder="1" applyAlignment="1">
      <alignment horizontal="left" vertical="center" wrapText="1"/>
    </xf>
    <xf numFmtId="0" fontId="56" fillId="11" borderId="94" xfId="15" applyFont="1" applyFill="1" applyBorder="1" applyAlignment="1">
      <alignment horizontal="left" vertical="center" wrapText="1"/>
    </xf>
    <xf numFmtId="0" fontId="8" fillId="21" borderId="160" xfId="15" applyFont="1" applyFill="1" applyBorder="1" applyAlignment="1">
      <alignment horizontal="left" vertical="center" wrapText="1"/>
    </xf>
    <xf numFmtId="0" fontId="8" fillId="21" borderId="161" xfId="15" quotePrefix="1" applyFont="1" applyFill="1" applyBorder="1" applyAlignment="1">
      <alignment horizontal="left" vertical="center" wrapText="1"/>
    </xf>
    <xf numFmtId="0" fontId="8" fillId="21" borderId="63" xfId="15" quotePrefix="1" applyFont="1" applyFill="1" applyBorder="1" applyAlignment="1">
      <alignment horizontal="left" vertical="center" wrapText="1"/>
    </xf>
    <xf numFmtId="0" fontId="63" fillId="0" borderId="21" xfId="15" applyFont="1" applyFill="1" applyBorder="1" applyAlignment="1">
      <alignment horizontal="center" vertical="center" wrapText="1"/>
    </xf>
    <xf numFmtId="0" fontId="8" fillId="21" borderId="161" xfId="15" applyFont="1" applyFill="1" applyBorder="1" applyAlignment="1">
      <alignment horizontal="left" vertical="center" wrapText="1"/>
    </xf>
    <xf numFmtId="0" fontId="8" fillId="0" borderId="29" xfId="15" applyFont="1" applyFill="1" applyBorder="1" applyAlignment="1">
      <alignment horizontal="center" vertical="center" wrapText="1"/>
    </xf>
    <xf numFmtId="0" fontId="8" fillId="0" borderId="94" xfId="15" applyFont="1" applyFill="1" applyBorder="1" applyAlignment="1">
      <alignment horizontal="center" vertical="center" wrapText="1"/>
    </xf>
    <xf numFmtId="0" fontId="64" fillId="11" borderId="29" xfId="15" applyFont="1" applyFill="1" applyBorder="1" applyAlignment="1">
      <alignment horizontal="left" vertical="center" wrapText="1"/>
    </xf>
    <xf numFmtId="0" fontId="64" fillId="11" borderId="94" xfId="15" applyFont="1" applyFill="1" applyBorder="1" applyAlignment="1">
      <alignment horizontal="left" vertical="center" wrapText="1"/>
    </xf>
    <xf numFmtId="0" fontId="8" fillId="21" borderId="29" xfId="15" applyFont="1" applyFill="1" applyBorder="1" applyAlignment="1">
      <alignment horizontal="left" vertical="center" wrapText="1"/>
    </xf>
    <xf numFmtId="0" fontId="8" fillId="21" borderId="0" xfId="15" quotePrefix="1" applyFont="1" applyFill="1" applyBorder="1" applyAlignment="1">
      <alignment horizontal="left" vertical="center" wrapText="1"/>
    </xf>
    <xf numFmtId="0" fontId="63" fillId="0" borderId="95" xfId="15" applyFont="1" applyBorder="1" applyAlignment="1">
      <alignment horizontal="center" vertical="center" wrapText="1"/>
    </xf>
    <xf numFmtId="0" fontId="63" fillId="0" borderId="9" xfId="15" applyFont="1" applyBorder="1" applyAlignment="1">
      <alignment horizontal="center" vertical="center" wrapText="1"/>
    </xf>
    <xf numFmtId="0" fontId="63" fillId="0" borderId="73" xfId="15" applyFont="1" applyBorder="1" applyAlignment="1">
      <alignment horizontal="center" vertical="center" wrapText="1"/>
    </xf>
    <xf numFmtId="0" fontId="63" fillId="0" borderId="17" xfId="15" applyFont="1" applyBorder="1" applyAlignment="1">
      <alignment horizontal="center" vertical="center" wrapText="1"/>
    </xf>
    <xf numFmtId="0" fontId="63" fillId="0" borderId="24" xfId="15" applyFont="1" applyBorder="1" applyAlignment="1">
      <alignment horizontal="center" vertical="center" wrapText="1"/>
    </xf>
    <xf numFmtId="0" fontId="63" fillId="0" borderId="21" xfId="15" applyFont="1" applyBorder="1" applyAlignment="1">
      <alignment horizontal="center" vertical="center" wrapText="1"/>
    </xf>
    <xf numFmtId="0" fontId="63" fillId="0" borderId="8" xfId="15" applyFont="1" applyBorder="1" applyAlignment="1">
      <alignment horizontal="center" vertical="center" wrapText="1"/>
    </xf>
    <xf numFmtId="49" fontId="56" fillId="0" borderId="73" xfId="15" applyNumberFormat="1" applyFont="1" applyBorder="1" applyAlignment="1">
      <alignment horizontal="center" vertical="center" wrapText="1"/>
    </xf>
    <xf numFmtId="49" fontId="56" fillId="0" borderId="22" xfId="15" applyNumberFormat="1" applyFont="1" applyBorder="1" applyAlignment="1">
      <alignment horizontal="center" vertical="center" wrapText="1"/>
    </xf>
    <xf numFmtId="0" fontId="8" fillId="21" borderId="164" xfId="15" applyFont="1" applyFill="1" applyBorder="1" applyAlignment="1">
      <alignment horizontal="left" vertical="center" wrapText="1"/>
    </xf>
    <xf numFmtId="0" fontId="8" fillId="21" borderId="166" xfId="15" applyFont="1" applyFill="1" applyBorder="1" applyAlignment="1">
      <alignment horizontal="left" vertical="center" wrapText="1"/>
    </xf>
    <xf numFmtId="0" fontId="12" fillId="0" borderId="24" xfId="15" quotePrefix="1" applyFont="1" applyFill="1" applyBorder="1" applyAlignment="1">
      <alignment horizontal="center" vertical="center" wrapText="1"/>
    </xf>
    <xf numFmtId="0" fontId="12" fillId="0" borderId="21" xfId="15" quotePrefix="1" applyFont="1" applyFill="1" applyBorder="1" applyAlignment="1">
      <alignment horizontal="center" vertical="center" wrapText="1"/>
    </xf>
    <xf numFmtId="0" fontId="8" fillId="0" borderId="73" xfId="15" applyFont="1" applyFill="1" applyBorder="1" applyAlignment="1">
      <alignment horizontal="center" vertical="center" wrapText="1"/>
    </xf>
    <xf numFmtId="0" fontId="8" fillId="0" borderId="21" xfId="15" applyFont="1" applyFill="1" applyBorder="1" applyAlignment="1">
      <alignment horizontal="center" vertical="center" wrapText="1"/>
    </xf>
    <xf numFmtId="0" fontId="8" fillId="0" borderId="22" xfId="15" applyFont="1" applyFill="1" applyBorder="1" applyAlignment="1">
      <alignment horizontal="center" vertical="center" wrapText="1"/>
    </xf>
    <xf numFmtId="0" fontId="62" fillId="0" borderId="73" xfId="15" applyFont="1" applyBorder="1" applyAlignment="1">
      <alignment horizontal="center" vertical="center" wrapText="1"/>
    </xf>
    <xf numFmtId="0" fontId="62" fillId="0" borderId="21" xfId="15" applyFont="1" applyBorder="1" applyAlignment="1">
      <alignment horizontal="center" vertical="center" wrapText="1"/>
    </xf>
    <xf numFmtId="0" fontId="62" fillId="0" borderId="17" xfId="15" applyFont="1" applyBorder="1" applyAlignment="1">
      <alignment horizontal="center" vertical="center" wrapText="1"/>
    </xf>
    <xf numFmtId="0" fontId="8" fillId="21" borderId="74" xfId="15" applyFont="1" applyFill="1" applyBorder="1" applyAlignment="1">
      <alignment horizontal="left" vertical="center" wrapText="1"/>
    </xf>
    <xf numFmtId="0" fontId="8" fillId="21" borderId="13" xfId="15" applyFont="1" applyFill="1" applyBorder="1" applyAlignment="1">
      <alignment horizontal="left" vertical="center" wrapText="1"/>
    </xf>
    <xf numFmtId="0" fontId="8" fillId="11" borderId="29" xfId="15" applyFont="1" applyFill="1" applyBorder="1" applyAlignment="1">
      <alignment horizontal="center" vertical="center" wrapText="1"/>
    </xf>
    <xf numFmtId="0" fontId="8" fillId="11" borderId="8" xfId="15" applyFont="1" applyFill="1" applyBorder="1" applyAlignment="1">
      <alignment horizontal="center" vertical="center" wrapText="1"/>
    </xf>
    <xf numFmtId="0" fontId="8" fillId="11" borderId="94" xfId="15" applyFont="1" applyFill="1" applyBorder="1" applyAlignment="1">
      <alignment horizontal="center" vertical="center" wrapText="1"/>
    </xf>
    <xf numFmtId="0" fontId="8" fillId="21" borderId="44" xfId="15" applyFont="1" applyFill="1" applyBorder="1" applyAlignment="1">
      <alignment horizontal="left" vertical="center" wrapText="1"/>
    </xf>
    <xf numFmtId="0" fontId="8" fillId="21" borderId="26" xfId="15" applyFont="1" applyFill="1" applyBorder="1" applyAlignment="1">
      <alignment horizontal="left" vertical="center" wrapText="1"/>
    </xf>
    <xf numFmtId="0" fontId="8" fillId="21" borderId="70" xfId="15" applyFont="1" applyFill="1" applyBorder="1" applyAlignment="1">
      <alignment horizontal="left" vertical="center" wrapText="1"/>
    </xf>
    <xf numFmtId="0" fontId="8" fillId="21" borderId="92" xfId="15" quotePrefix="1" applyFont="1" applyFill="1" applyBorder="1" applyAlignment="1">
      <alignment horizontal="left" vertical="center" wrapText="1"/>
    </xf>
    <xf numFmtId="0" fontId="8" fillId="21" borderId="70" xfId="15" quotePrefix="1" applyFont="1" applyFill="1" applyBorder="1" applyAlignment="1">
      <alignment horizontal="left" vertical="center" wrapText="1"/>
    </xf>
    <xf numFmtId="0" fontId="8" fillId="21" borderId="95" xfId="15" applyFont="1" applyFill="1" applyBorder="1" applyAlignment="1">
      <alignment horizontal="left" vertical="center" wrapText="1"/>
    </xf>
    <xf numFmtId="0" fontId="8" fillId="11" borderId="73" xfId="15" applyFont="1" applyFill="1" applyBorder="1" applyAlignment="1">
      <alignment horizontal="center" vertical="center" wrapText="1"/>
    </xf>
    <xf numFmtId="0" fontId="8" fillId="11" borderId="17" xfId="15" applyFont="1" applyFill="1" applyBorder="1" applyAlignment="1">
      <alignment horizontal="center" vertical="center" wrapText="1"/>
    </xf>
    <xf numFmtId="49" fontId="8" fillId="21" borderId="74" xfId="15" applyNumberFormat="1" applyFont="1" applyFill="1" applyBorder="1" applyAlignment="1">
      <alignment horizontal="left" vertical="center" wrapText="1"/>
    </xf>
    <xf numFmtId="49" fontId="8" fillId="21" borderId="161" xfId="15" applyNumberFormat="1" applyFont="1" applyFill="1" applyBorder="1" applyAlignment="1">
      <alignment horizontal="left" vertical="center" wrapText="1"/>
    </xf>
    <xf numFmtId="49" fontId="9" fillId="0" borderId="29" xfId="15" applyNumberFormat="1" applyFont="1" applyBorder="1" applyAlignment="1">
      <alignment horizontal="center" vertical="center" wrapText="1"/>
    </xf>
    <xf numFmtId="49" fontId="9" fillId="0" borderId="26" xfId="15" applyNumberFormat="1" applyFont="1" applyBorder="1" applyAlignment="1">
      <alignment horizontal="center" vertical="center" wrapText="1"/>
    </xf>
    <xf numFmtId="49" fontId="56" fillId="0" borderId="17" xfId="15" applyNumberFormat="1" applyFont="1" applyBorder="1" applyAlignment="1">
      <alignment horizontal="center" vertical="center" wrapText="1"/>
    </xf>
    <xf numFmtId="3" fontId="61" fillId="11" borderId="73" xfId="15" applyNumberFormat="1" applyFont="1" applyFill="1" applyBorder="1" applyAlignment="1">
      <alignment horizontal="right" vertical="center"/>
    </xf>
    <xf numFmtId="3" fontId="61" fillId="11" borderId="17" xfId="15" applyNumberFormat="1" applyFont="1" applyFill="1" applyBorder="1" applyAlignment="1">
      <alignment horizontal="right" vertical="center"/>
    </xf>
    <xf numFmtId="0" fontId="42" fillId="0" borderId="0" xfId="15" applyFont="1" applyAlignment="1">
      <alignment horizontal="center" vertical="center" wrapText="1"/>
    </xf>
    <xf numFmtId="0" fontId="42" fillId="0" borderId="0" xfId="15" applyFont="1" applyAlignment="1">
      <alignment horizontal="center" vertical="center"/>
    </xf>
    <xf numFmtId="0" fontId="55" fillId="0" borderId="0" xfId="15" applyFont="1" applyBorder="1" applyAlignment="1">
      <alignment horizontal="center" vertical="center" wrapText="1"/>
    </xf>
    <xf numFmtId="0" fontId="58" fillId="2" borderId="7" xfId="15" applyFont="1" applyFill="1" applyBorder="1" applyAlignment="1">
      <alignment horizontal="center" vertical="center" wrapText="1"/>
    </xf>
    <xf numFmtId="0" fontId="58" fillId="2" borderId="15" xfId="15" applyFont="1" applyFill="1" applyBorder="1" applyAlignment="1">
      <alignment horizontal="center" vertical="center" wrapText="1"/>
    </xf>
    <xf numFmtId="0" fontId="58" fillId="2" borderId="12" xfId="15" applyFont="1" applyFill="1" applyBorder="1" applyAlignment="1">
      <alignment horizontal="center" vertical="center" wrapText="1"/>
    </xf>
    <xf numFmtId="3" fontId="59" fillId="2" borderId="24" xfId="15" applyNumberFormat="1" applyFont="1" applyFill="1" applyBorder="1" applyAlignment="1">
      <alignment horizontal="center" vertical="center"/>
    </xf>
    <xf numFmtId="3" fontId="59" fillId="2" borderId="17" xfId="15" applyNumberFormat="1" applyFont="1" applyFill="1" applyBorder="1" applyAlignment="1">
      <alignment horizontal="center" vertical="center"/>
    </xf>
    <xf numFmtId="0" fontId="56" fillId="0" borderId="163" xfId="15" applyFont="1" applyBorder="1" applyAlignment="1">
      <alignment horizontal="center" vertical="center" wrapText="1"/>
    </xf>
    <xf numFmtId="0" fontId="8" fillId="21" borderId="94" xfId="15" quotePrefix="1" applyFont="1" applyFill="1" applyBorder="1" applyAlignment="1">
      <alignment horizontal="left" vertical="center" wrapText="1"/>
    </xf>
    <xf numFmtId="0" fontId="56" fillId="0" borderId="8" xfId="15" applyFont="1" applyBorder="1" applyAlignment="1">
      <alignment horizontal="center" vertical="center" wrapText="1"/>
    </xf>
    <xf numFmtId="0" fontId="56" fillId="0" borderId="73" xfId="15" applyFont="1" applyBorder="1" applyAlignment="1">
      <alignment horizontal="center" vertical="center" wrapText="1"/>
    </xf>
    <xf numFmtId="0" fontId="8" fillId="21" borderId="13" xfId="15" quotePrefix="1" applyFont="1" applyFill="1" applyBorder="1" applyAlignment="1">
      <alignment horizontal="left" vertical="center" wrapText="1"/>
    </xf>
    <xf numFmtId="0" fontId="45" fillId="11" borderId="29" xfId="15" applyFont="1" applyFill="1" applyBorder="1" applyAlignment="1">
      <alignment horizontal="center" vertical="center" wrapText="1"/>
    </xf>
    <xf numFmtId="0" fontId="45" fillId="11" borderId="8" xfId="15" applyFont="1" applyFill="1" applyBorder="1" applyAlignment="1">
      <alignment horizontal="center" vertical="center" wrapText="1"/>
    </xf>
    <xf numFmtId="0" fontId="12" fillId="0" borderId="8" xfId="15" quotePrefix="1" applyFont="1" applyFill="1" applyBorder="1" applyAlignment="1">
      <alignment horizontal="center" vertical="center" wrapText="1"/>
    </xf>
    <xf numFmtId="0" fontId="7" fillId="0" borderId="0" xfId="15" applyFont="1" applyFill="1" applyBorder="1" applyAlignment="1">
      <alignment horizontal="left" vertical="center" wrapText="1"/>
    </xf>
    <xf numFmtId="0" fontId="8" fillId="21" borderId="71" xfId="15" applyFont="1" applyFill="1" applyBorder="1" applyAlignment="1">
      <alignment horizontal="left" vertical="center" wrapText="1"/>
    </xf>
    <xf numFmtId="0" fontId="7" fillId="0" borderId="21" xfId="15" quotePrefix="1" applyFont="1" applyBorder="1" applyAlignment="1">
      <alignment horizontal="center" vertical="center" wrapText="1"/>
    </xf>
    <xf numFmtId="0" fontId="7" fillId="0" borderId="22" xfId="15" quotePrefix="1" applyFont="1" applyBorder="1" applyAlignment="1">
      <alignment horizontal="center" vertical="center" wrapText="1"/>
    </xf>
    <xf numFmtId="0" fontId="7" fillId="0" borderId="21" xfId="15" applyFont="1" applyBorder="1" applyAlignment="1">
      <alignment horizontal="left" vertical="center" wrapText="1"/>
    </xf>
    <xf numFmtId="0" fontId="7" fillId="0" borderId="22" xfId="15" applyFont="1" applyBorder="1" applyAlignment="1">
      <alignment horizontal="left" vertical="center" wrapText="1"/>
    </xf>
    <xf numFmtId="0" fontId="35" fillId="0" borderId="0" xfId="10" applyNumberFormat="1" applyFont="1" applyFill="1" applyBorder="1" applyAlignment="1" applyProtection="1">
      <alignment horizontal="center" vertical="center" wrapText="1"/>
      <protection locked="0"/>
    </xf>
    <xf numFmtId="0" fontId="35" fillId="0" borderId="0" xfId="10" applyNumberFormat="1" applyFont="1" applyFill="1" applyBorder="1" applyAlignment="1" applyProtection="1">
      <alignment horizontal="center" vertical="center"/>
      <protection locked="0"/>
    </xf>
    <xf numFmtId="49" fontId="36" fillId="6" borderId="0" xfId="10" applyNumberFormat="1" applyFont="1" applyFill="1" applyBorder="1" applyAlignment="1" applyProtection="1">
      <alignment horizontal="center" vertical="center" wrapText="1"/>
      <protection locked="0"/>
    </xf>
    <xf numFmtId="49" fontId="38" fillId="6" borderId="104" xfId="10" applyNumberFormat="1" applyFont="1" applyFill="1" applyBorder="1" applyAlignment="1" applyProtection="1">
      <alignment horizontal="center" vertical="center" wrapText="1"/>
      <protection locked="0"/>
    </xf>
    <xf numFmtId="49" fontId="38" fillId="6" borderId="105" xfId="10" applyNumberFormat="1" applyFont="1" applyFill="1" applyBorder="1" applyAlignment="1" applyProtection="1">
      <alignment horizontal="center" vertical="center" wrapText="1"/>
      <protection locked="0"/>
    </xf>
    <xf numFmtId="49" fontId="38" fillId="7" borderId="108" xfId="10" applyNumberFormat="1" applyFont="1" applyFill="1" applyBorder="1" applyAlignment="1" applyProtection="1">
      <alignment horizontal="center" vertical="center" wrapText="1"/>
      <protection locked="0"/>
    </xf>
    <xf numFmtId="49" fontId="38" fillId="7" borderId="109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108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109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112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113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114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54" xfId="10" applyNumberFormat="1" applyFont="1" applyFill="1" applyBorder="1" applyAlignment="1" applyProtection="1">
      <alignment horizontal="center" vertical="center" wrapText="1"/>
      <protection locked="0"/>
    </xf>
    <xf numFmtId="49" fontId="38" fillId="0" borderId="108" xfId="10" applyNumberFormat="1" applyFont="1" applyFill="1" applyBorder="1" applyAlignment="1" applyProtection="1">
      <alignment horizontal="left" vertical="center" wrapText="1"/>
      <protection locked="0"/>
    </xf>
    <xf numFmtId="49" fontId="38" fillId="0" borderId="109" xfId="10" applyNumberFormat="1" applyFont="1" applyFill="1" applyBorder="1" applyAlignment="1" applyProtection="1">
      <alignment horizontal="left" vertical="center" wrapText="1"/>
      <protection locked="0"/>
    </xf>
    <xf numFmtId="49" fontId="34" fillId="0" borderId="108" xfId="10" applyNumberFormat="1" applyFont="1" applyFill="1" applyBorder="1" applyAlignment="1" applyProtection="1">
      <alignment horizontal="left" vertical="center" wrapText="1"/>
      <protection locked="0"/>
    </xf>
    <xf numFmtId="49" fontId="34" fillId="0" borderId="115" xfId="10" applyNumberFormat="1" applyFont="1" applyFill="1" applyBorder="1" applyAlignment="1" applyProtection="1">
      <alignment horizontal="left" vertical="center" wrapText="1"/>
      <protection locked="0"/>
    </xf>
    <xf numFmtId="0" fontId="40" fillId="0" borderId="108" xfId="10" applyNumberFormat="1" applyFont="1" applyFill="1" applyBorder="1" applyAlignment="1" applyProtection="1">
      <alignment horizontal="left" vertical="center"/>
      <protection locked="0"/>
    </xf>
    <xf numFmtId="0" fontId="40" fillId="0" borderId="116" xfId="10" applyNumberFormat="1" applyFont="1" applyFill="1" applyBorder="1" applyAlignment="1" applyProtection="1">
      <alignment horizontal="left" vertical="center"/>
      <protection locked="0"/>
    </xf>
    <xf numFmtId="49" fontId="34" fillId="6" borderId="114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54" xfId="10" applyNumberFormat="1" applyFont="1" applyFill="1" applyBorder="1" applyAlignment="1" applyProtection="1">
      <alignment horizontal="center" vertical="center" wrapText="1"/>
      <protection locked="0"/>
    </xf>
    <xf numFmtId="49" fontId="40" fillId="6" borderId="108" xfId="10" applyNumberFormat="1" applyFont="1" applyFill="1" applyBorder="1" applyAlignment="1" applyProtection="1">
      <alignment horizontal="left" vertical="center" wrapText="1"/>
      <protection locked="0"/>
    </xf>
    <xf numFmtId="49" fontId="40" fillId="6" borderId="109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0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109" xfId="10" applyNumberFormat="1" applyFont="1" applyFill="1" applyBorder="1" applyAlignment="1" applyProtection="1">
      <alignment horizontal="left" vertical="center" wrapText="1"/>
      <protection locked="0"/>
    </xf>
    <xf numFmtId="0" fontId="40" fillId="0" borderId="109" xfId="10" applyNumberFormat="1" applyFont="1" applyFill="1" applyBorder="1" applyAlignment="1" applyProtection="1">
      <alignment horizontal="left" vertical="center"/>
      <protection locked="0"/>
    </xf>
    <xf numFmtId="49" fontId="34" fillId="6" borderId="108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109" xfId="10" applyNumberFormat="1" applyFont="1" applyFill="1" applyBorder="1" applyAlignment="1" applyProtection="1">
      <alignment horizontal="left" vertical="center" wrapText="1"/>
      <protection locked="0"/>
    </xf>
    <xf numFmtId="49" fontId="34" fillId="0" borderId="117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0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1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49" fontId="40" fillId="6" borderId="112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55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56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57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97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100" xfId="10" applyNumberFormat="1" applyFont="1" applyFill="1" applyBorder="1" applyAlignment="1" applyProtection="1">
      <alignment horizontal="center" vertical="center" wrapText="1"/>
      <protection locked="0"/>
    </xf>
    <xf numFmtId="49" fontId="34" fillId="10" borderId="112" xfId="10" applyNumberFormat="1" applyFont="1" applyFill="1" applyBorder="1" applyAlignment="1" applyProtection="1">
      <alignment horizontal="center" vertical="center" wrapText="1"/>
      <protection locked="0"/>
    </xf>
    <xf numFmtId="0" fontId="0" fillId="11" borderId="113" xfId="0" applyFill="1" applyBorder="1" applyAlignment="1">
      <alignment horizontal="center" vertical="center" wrapText="1"/>
    </xf>
    <xf numFmtId="0" fontId="0" fillId="11" borderId="114" xfId="0" applyFill="1" applyBorder="1" applyAlignment="1">
      <alignment horizontal="center" vertical="center" wrapText="1"/>
    </xf>
    <xf numFmtId="0" fontId="0" fillId="11" borderId="54" xfId="0" applyFill="1" applyBorder="1" applyAlignment="1">
      <alignment horizontal="center" vertical="center" wrapText="1"/>
    </xf>
    <xf numFmtId="49" fontId="34" fillId="6" borderId="97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98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99" xfId="10" applyNumberFormat="1" applyFont="1" applyFill="1" applyBorder="1" applyAlignment="1" applyProtection="1">
      <alignment horizontal="center" vertical="center" wrapText="1"/>
      <protection locked="0"/>
    </xf>
    <xf numFmtId="49" fontId="38" fillId="6" borderId="97" xfId="10" applyNumberFormat="1" applyFont="1" applyFill="1" applyBorder="1" applyAlignment="1" applyProtection="1">
      <alignment horizontal="left" vertical="center" wrapText="1"/>
      <protection locked="0"/>
    </xf>
    <xf numFmtId="49" fontId="38" fillId="6" borderId="100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114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1" fillId="0" borderId="115" xfId="0" applyFont="1" applyBorder="1" applyAlignment="1">
      <alignment horizontal="left" vertical="center" wrapText="1"/>
    </xf>
    <xf numFmtId="49" fontId="38" fillId="6" borderId="108" xfId="10" applyNumberFormat="1" applyFont="1" applyFill="1" applyBorder="1" applyAlignment="1" applyProtection="1">
      <alignment horizontal="left" vertical="center" wrapText="1"/>
      <protection locked="0"/>
    </xf>
    <xf numFmtId="49" fontId="38" fillId="6" borderId="109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13" xfId="0" applyBorder="1"/>
    <xf numFmtId="0" fontId="0" fillId="0" borderId="114" xfId="0" applyBorder="1"/>
    <xf numFmtId="0" fontId="0" fillId="0" borderId="54" xfId="0" applyBorder="1"/>
    <xf numFmtId="0" fontId="0" fillId="0" borderId="97" xfId="0" applyBorder="1"/>
    <xf numFmtId="0" fontId="0" fillId="0" borderId="100" xfId="0" applyBorder="1"/>
    <xf numFmtId="49" fontId="34" fillId="6" borderId="112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100" xfId="10" applyNumberFormat="1" applyFont="1" applyFill="1" applyBorder="1" applyAlignment="1" applyProtection="1">
      <alignment horizontal="center" vertical="center" wrapText="1"/>
      <protection locked="0"/>
    </xf>
    <xf numFmtId="0" fontId="0" fillId="11" borderId="113" xfId="0" applyFill="1" applyBorder="1" applyAlignment="1">
      <alignment vertical="center" wrapText="1"/>
    </xf>
    <xf numFmtId="0" fontId="0" fillId="11" borderId="114" xfId="0" applyFill="1" applyBorder="1" applyAlignment="1">
      <alignment vertical="center" wrapText="1"/>
    </xf>
    <xf numFmtId="0" fontId="0" fillId="11" borderId="54" xfId="0" applyFill="1" applyBorder="1" applyAlignment="1">
      <alignment vertical="center" wrapText="1"/>
    </xf>
    <xf numFmtId="0" fontId="0" fillId="0" borderId="114" xfId="0" applyBorder="1" applyAlignment="1">
      <alignment vertical="center" wrapText="1"/>
    </xf>
    <xf numFmtId="0" fontId="0" fillId="0" borderId="54" xfId="0" applyBorder="1" applyAlignment="1">
      <alignment vertical="center" wrapText="1"/>
    </xf>
    <xf numFmtId="0" fontId="0" fillId="0" borderId="97" xfId="0" applyBorder="1" applyAlignment="1">
      <alignment vertical="center" wrapText="1"/>
    </xf>
    <xf numFmtId="0" fontId="0" fillId="0" borderId="100" xfId="0" applyBorder="1" applyAlignment="1">
      <alignment vertical="center" wrapText="1"/>
    </xf>
    <xf numFmtId="49" fontId="34" fillId="0" borderId="108" xfId="10" applyNumberFormat="1" applyFont="1" applyFill="1" applyBorder="1" applyAlignment="1" applyProtection="1">
      <alignment vertical="center" wrapText="1"/>
      <protection locked="0"/>
    </xf>
    <xf numFmtId="0" fontId="0" fillId="0" borderId="109" xfId="0" applyFont="1" applyBorder="1" applyAlignment="1">
      <alignment vertical="center" wrapText="1"/>
    </xf>
    <xf numFmtId="49" fontId="40" fillId="0" borderId="108" xfId="10" applyNumberFormat="1" applyFont="1" applyFill="1" applyBorder="1" applyAlignment="1" applyProtection="1">
      <alignment vertical="center" wrapText="1"/>
      <protection locked="0"/>
    </xf>
    <xf numFmtId="0" fontId="41" fillId="0" borderId="109" xfId="0" applyFont="1" applyBorder="1" applyAlignment="1">
      <alignment vertical="center" wrapText="1"/>
    </xf>
    <xf numFmtId="49" fontId="38" fillId="0" borderId="112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119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24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01" xfId="10" applyNumberFormat="1" applyFont="1" applyFill="1" applyBorder="1" applyAlignment="1" applyProtection="1">
      <alignment horizontal="center" vertical="center" wrapText="1"/>
      <protection locked="0"/>
    </xf>
    <xf numFmtId="49" fontId="38" fillId="6" borderId="60" xfId="10" applyNumberFormat="1" applyFont="1" applyFill="1" applyBorder="1" applyAlignment="1" applyProtection="1">
      <alignment horizontal="left" vertical="center" wrapText="1"/>
      <protection locked="0"/>
    </xf>
    <xf numFmtId="0" fontId="33" fillId="0" borderId="61" xfId="0" applyFont="1" applyBorder="1" applyAlignment="1">
      <alignment horizontal="left" vertical="center" wrapText="1"/>
    </xf>
    <xf numFmtId="49" fontId="34" fillId="6" borderId="112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13" xfId="10" applyNumberFormat="1" applyFont="1" applyFill="1" applyBorder="1" applyAlignment="1" applyProtection="1">
      <alignment horizontal="center" vertical="center" wrapText="1"/>
      <protection locked="0"/>
    </xf>
    <xf numFmtId="49" fontId="38" fillId="10" borderId="104" xfId="10" applyNumberFormat="1" applyFont="1" applyFill="1" applyBorder="1" applyAlignment="1" applyProtection="1">
      <alignment horizontal="left" vertical="center" wrapText="1"/>
      <protection locked="0"/>
    </xf>
    <xf numFmtId="0" fontId="33" fillId="0" borderId="105" xfId="0" applyFont="1" applyBorder="1" applyAlignment="1">
      <alignment horizontal="left" vertical="center" wrapText="1"/>
    </xf>
    <xf numFmtId="49" fontId="39" fillId="10" borderId="112" xfId="10" applyNumberFormat="1" applyFont="1" applyFill="1" applyBorder="1" applyAlignment="1" applyProtection="1">
      <alignment horizontal="center" vertical="center" wrapText="1"/>
      <protection locked="0"/>
    </xf>
    <xf numFmtId="0" fontId="0" fillId="11" borderId="0" xfId="0" applyFill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97" xfId="0" applyBorder="1" applyAlignment="1">
      <alignment horizontal="center" vertical="center" wrapText="1"/>
    </xf>
    <xf numFmtId="0" fontId="0" fillId="0" borderId="100" xfId="0" applyBorder="1" applyAlignment="1">
      <alignment horizontal="center" vertical="center" wrapText="1"/>
    </xf>
    <xf numFmtId="49" fontId="38" fillId="10" borderId="108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09" xfId="0" applyFont="1" applyBorder="1" applyAlignment="1">
      <alignment horizontal="left" vertical="center" wrapText="1"/>
    </xf>
    <xf numFmtId="49" fontId="34" fillId="10" borderId="108" xfId="10" applyNumberFormat="1" applyFont="1" applyFill="1" applyBorder="1" applyAlignment="1" applyProtection="1">
      <alignment horizontal="left" vertical="center" wrapText="1"/>
      <protection locked="0"/>
    </xf>
    <xf numFmtId="49" fontId="34" fillId="10" borderId="97" xfId="10" applyNumberFormat="1" applyFont="1" applyFill="1" applyBorder="1" applyAlignment="1" applyProtection="1">
      <alignment horizontal="left" vertical="center" wrapText="1"/>
      <protection locked="0"/>
    </xf>
    <xf numFmtId="49" fontId="39" fillId="10" borderId="114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vertical="center" wrapText="1"/>
    </xf>
    <xf numFmtId="49" fontId="38" fillId="6" borderId="104" xfId="10" applyNumberFormat="1" applyFont="1" applyFill="1" applyBorder="1" applyAlignment="1" applyProtection="1">
      <alignment horizontal="left" vertical="center" wrapText="1"/>
      <protection locked="0"/>
    </xf>
    <xf numFmtId="49" fontId="38" fillId="6" borderId="105" xfId="10" applyNumberFormat="1" applyFont="1" applyFill="1" applyBorder="1" applyAlignment="1" applyProtection="1">
      <alignment horizontal="left" vertical="center" wrapText="1"/>
      <protection locked="0"/>
    </xf>
    <xf numFmtId="49" fontId="40" fillId="6" borderId="60" xfId="10" applyNumberFormat="1" applyFont="1" applyFill="1" applyBorder="1" applyAlignment="1" applyProtection="1">
      <alignment horizontal="left" vertical="center" wrapText="1"/>
      <protection locked="0"/>
    </xf>
    <xf numFmtId="49" fontId="40" fillId="6" borderId="61" xfId="10" applyNumberFormat="1" applyFont="1" applyFill="1" applyBorder="1" applyAlignment="1" applyProtection="1">
      <alignment horizontal="left" vertical="center" wrapText="1"/>
      <protection locked="0"/>
    </xf>
    <xf numFmtId="49" fontId="34" fillId="0" borderId="53" xfId="10" applyNumberFormat="1" applyFont="1" applyFill="1" applyBorder="1" applyAlignment="1" applyProtection="1">
      <alignment horizontal="left" vertical="center" wrapText="1"/>
      <protection locked="0"/>
    </xf>
    <xf numFmtId="49" fontId="39" fillId="9" borderId="108" xfId="10" applyNumberFormat="1" applyFont="1" applyFill="1" applyBorder="1" applyAlignment="1" applyProtection="1">
      <alignment horizontal="center" vertical="center" wrapText="1"/>
      <protection locked="0"/>
    </xf>
    <xf numFmtId="49" fontId="39" fillId="9" borderId="109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117" xfId="0" applyBorder="1" applyAlignment="1">
      <alignment horizontal="center" vertical="center" wrapText="1"/>
    </xf>
    <xf numFmtId="0" fontId="0" fillId="0" borderId="98" xfId="0" applyBorder="1" applyAlignment="1">
      <alignment horizontal="center" vertical="center" wrapText="1"/>
    </xf>
    <xf numFmtId="49" fontId="34" fillId="6" borderId="108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16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15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60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63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61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53" xfId="10" applyNumberFormat="1" applyFont="1" applyFill="1" applyBorder="1" applyAlignment="1" applyProtection="1">
      <alignment horizontal="left" vertical="center" wrapText="1"/>
      <protection locked="0"/>
    </xf>
    <xf numFmtId="49" fontId="39" fillId="0" borderId="54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116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128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123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123" xfId="0" applyBorder="1" applyAlignment="1">
      <alignment horizontal="center" vertical="center" wrapText="1"/>
    </xf>
    <xf numFmtId="0" fontId="33" fillId="0" borderId="109" xfId="0" applyFont="1" applyBorder="1" applyAlignment="1">
      <alignment horizontal="left" vertical="center" wrapText="1"/>
    </xf>
    <xf numFmtId="49" fontId="34" fillId="6" borderId="110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21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114" xfId="10" applyNumberFormat="1" applyFont="1" applyFill="1" applyBorder="1" applyAlignment="1" applyProtection="1">
      <alignment horizontal="left" vertical="center" wrapText="1"/>
      <protection locked="0"/>
    </xf>
    <xf numFmtId="49" fontId="34" fillId="0" borderId="100" xfId="10" applyNumberFormat="1" applyFont="1" applyFill="1" applyBorder="1" applyAlignment="1" applyProtection="1">
      <alignment horizontal="left" vertical="center" wrapText="1"/>
      <protection locked="0"/>
    </xf>
    <xf numFmtId="0" fontId="34" fillId="0" borderId="97" xfId="10" applyNumberFormat="1" applyFont="1" applyFill="1" applyBorder="1" applyAlignment="1" applyProtection="1">
      <alignment horizontal="center" vertical="center"/>
      <protection locked="0"/>
    </xf>
    <xf numFmtId="0" fontId="34" fillId="0" borderId="116" xfId="10" applyNumberFormat="1" applyFont="1" applyFill="1" applyBorder="1" applyAlignment="1" applyProtection="1">
      <alignment horizontal="center" vertical="center"/>
      <protection locked="0"/>
    </xf>
    <xf numFmtId="0" fontId="34" fillId="0" borderId="99" xfId="10" applyNumberFormat="1" applyFont="1" applyFill="1" applyBorder="1" applyAlignment="1" applyProtection="1">
      <alignment horizontal="center" vertical="center"/>
      <protection locked="0"/>
    </xf>
    <xf numFmtId="49" fontId="34" fillId="0" borderId="98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53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129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130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1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32" xfId="0" applyBorder="1" applyAlignment="1">
      <alignment horizontal="center" vertical="center" wrapText="1"/>
    </xf>
    <xf numFmtId="0" fontId="0" fillId="0" borderId="133" xfId="0" applyBorder="1" applyAlignment="1">
      <alignment horizontal="center" vertical="center" wrapText="1"/>
    </xf>
    <xf numFmtId="49" fontId="38" fillId="0" borderId="116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116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123" xfId="10" applyNumberFormat="1" applyFont="1" applyFill="1" applyBorder="1" applyAlignment="1" applyProtection="1">
      <alignment horizontal="center" vertical="center" wrapText="1"/>
      <protection locked="0"/>
    </xf>
    <xf numFmtId="49" fontId="38" fillId="6" borderId="131" xfId="10" applyNumberFormat="1" applyFont="1" applyFill="1" applyBorder="1" applyAlignment="1" applyProtection="1">
      <alignment horizontal="left" vertical="center" wrapText="1"/>
      <protection locked="0"/>
    </xf>
    <xf numFmtId="49" fontId="38" fillId="7" borderId="53" xfId="10" applyNumberFormat="1" applyFont="1" applyFill="1" applyBorder="1" applyAlignment="1" applyProtection="1">
      <alignment horizontal="center" vertical="center" wrapText="1"/>
      <protection locked="0"/>
    </xf>
    <xf numFmtId="49" fontId="38" fillId="0" borderId="138" xfId="10" applyNumberFormat="1" applyFont="1" applyFill="1" applyBorder="1" applyAlignment="1" applyProtection="1">
      <alignment horizontal="center" vertical="center" wrapText="1"/>
      <protection locked="0"/>
    </xf>
    <xf numFmtId="49" fontId="38" fillId="0" borderId="1" xfId="10" applyNumberFormat="1" applyFont="1" applyFill="1" applyBorder="1" applyAlignment="1" applyProtection="1">
      <alignment horizontal="center" vertical="center" wrapText="1"/>
      <protection locked="0"/>
    </xf>
    <xf numFmtId="49" fontId="38" fillId="6" borderId="116" xfId="10" applyNumberFormat="1" applyFont="1" applyFill="1" applyBorder="1" applyAlignment="1" applyProtection="1">
      <alignment horizontal="left" vertical="center" wrapText="1"/>
      <protection locked="0"/>
    </xf>
    <xf numFmtId="49" fontId="34" fillId="0" borderId="60" xfId="10" applyNumberFormat="1" applyFont="1" applyFill="1" applyBorder="1" applyAlignment="1" applyProtection="1">
      <alignment vertical="center" wrapText="1"/>
      <protection locked="0"/>
    </xf>
    <xf numFmtId="0" fontId="0" fillId="0" borderId="63" xfId="0" applyBorder="1" applyAlignment="1">
      <alignment vertical="center" wrapText="1"/>
    </xf>
    <xf numFmtId="0" fontId="0" fillId="0" borderId="61" xfId="0" applyBorder="1" applyAlignment="1">
      <alignment vertical="center" wrapText="1"/>
    </xf>
    <xf numFmtId="49" fontId="39" fillId="8" borderId="60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61" xfId="10" applyNumberFormat="1" applyFont="1" applyFill="1" applyBorder="1" applyAlignment="1" applyProtection="1">
      <alignment horizontal="center" vertical="center" wrapText="1"/>
      <protection locked="0"/>
    </xf>
    <xf numFmtId="49" fontId="38" fillId="0" borderId="97" xfId="10" applyNumberFormat="1" applyFont="1" applyFill="1" applyBorder="1" applyAlignment="1" applyProtection="1">
      <alignment horizontal="left" vertical="center" wrapText="1"/>
      <protection locked="0"/>
    </xf>
    <xf numFmtId="49" fontId="38" fillId="0" borderId="100" xfId="10" applyNumberFormat="1" applyFont="1" applyFill="1" applyBorder="1" applyAlignment="1" applyProtection="1">
      <alignment horizontal="left" vertical="center" wrapText="1"/>
      <protection locked="0"/>
    </xf>
    <xf numFmtId="0" fontId="34" fillId="0" borderId="129" xfId="10" applyNumberFormat="1" applyFont="1" applyFill="1" applyBorder="1" applyAlignment="1" applyProtection="1">
      <alignment horizontal="center" vertical="center"/>
      <protection locked="0"/>
    </xf>
    <xf numFmtId="0" fontId="34" fillId="0" borderId="140" xfId="10" applyNumberFormat="1" applyFont="1" applyFill="1" applyBorder="1" applyAlignment="1" applyProtection="1">
      <alignment horizontal="center" vertical="center"/>
      <protection locked="0"/>
    </xf>
    <xf numFmtId="0" fontId="34" fillId="0" borderId="130" xfId="10" applyNumberFormat="1" applyFont="1" applyFill="1" applyBorder="1" applyAlignment="1" applyProtection="1">
      <alignment horizontal="center" vertical="center"/>
      <protection locked="0"/>
    </xf>
    <xf numFmtId="0" fontId="0" fillId="0" borderId="109" xfId="0" applyBorder="1" applyAlignment="1">
      <alignment horizontal="left" vertical="center" wrapText="1"/>
    </xf>
    <xf numFmtId="49" fontId="34" fillId="6" borderId="141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142" xfId="10" applyNumberFormat="1" applyFont="1" applyFill="1" applyBorder="1" applyAlignment="1" applyProtection="1">
      <alignment horizontal="left" vertical="center" wrapText="1"/>
      <protection locked="0"/>
    </xf>
    <xf numFmtId="49" fontId="34" fillId="0" borderId="112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113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96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25" xfId="10" applyNumberFormat="1" applyFont="1" applyFill="1" applyBorder="1" applyAlignment="1" applyProtection="1">
      <alignment horizontal="center" vertical="center" wrapText="1"/>
      <protection locked="0"/>
    </xf>
    <xf numFmtId="49" fontId="38" fillId="11" borderId="113" xfId="10" applyNumberFormat="1" applyFont="1" applyFill="1" applyBorder="1" applyAlignment="1" applyProtection="1">
      <alignment horizontal="center" vertical="center" wrapText="1"/>
      <protection locked="0"/>
    </xf>
    <xf numFmtId="49" fontId="38" fillId="10" borderId="114" xfId="10" applyNumberFormat="1" applyFont="1" applyFill="1" applyBorder="1" applyAlignment="1" applyProtection="1">
      <alignment horizontal="center" vertical="center" wrapText="1"/>
      <protection locked="0"/>
    </xf>
    <xf numFmtId="49" fontId="38" fillId="7" borderId="112" xfId="10" applyNumberFormat="1" applyFont="1" applyFill="1" applyBorder="1" applyAlignment="1" applyProtection="1">
      <alignment horizontal="center" vertical="center" wrapText="1"/>
      <protection locked="0"/>
    </xf>
    <xf numFmtId="49" fontId="38" fillId="7" borderId="113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140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130" xfId="10" applyNumberFormat="1" applyFont="1" applyFill="1" applyBorder="1" applyAlignment="1" applyProtection="1">
      <alignment horizontal="center" vertical="center" wrapText="1"/>
      <protection locked="0"/>
    </xf>
    <xf numFmtId="49" fontId="39" fillId="0" borderId="140" xfId="10" applyNumberFormat="1" applyFont="1" applyFill="1" applyBorder="1" applyAlignment="1" applyProtection="1">
      <alignment horizontal="center" vertical="center" wrapText="1"/>
      <protection locked="0"/>
    </xf>
    <xf numFmtId="49" fontId="39" fillId="0" borderId="130" xfId="10" applyNumberFormat="1" applyFont="1" applyFill="1" applyBorder="1" applyAlignment="1" applyProtection="1">
      <alignment horizontal="center" vertical="center" wrapText="1"/>
      <protection locked="0"/>
    </xf>
    <xf numFmtId="49" fontId="39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39" fillId="0" borderId="1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117" xfId="10" applyNumberFormat="1" applyFont="1" applyFill="1" applyBorder="1" applyAlignment="1" applyProtection="1">
      <alignment horizontal="left" vertical="center" wrapText="1"/>
      <protection locked="0"/>
    </xf>
    <xf numFmtId="49" fontId="38" fillId="6" borderId="63" xfId="10" applyNumberFormat="1" applyFont="1" applyFill="1" applyBorder="1" applyAlignment="1" applyProtection="1">
      <alignment horizontal="left" vertical="center" wrapText="1"/>
      <protection locked="0"/>
    </xf>
    <xf numFmtId="49" fontId="38" fillId="6" borderId="61" xfId="10" applyNumberFormat="1" applyFont="1" applyFill="1" applyBorder="1" applyAlignment="1" applyProtection="1">
      <alignment horizontal="left" vertical="center" wrapText="1"/>
      <protection locked="0"/>
    </xf>
    <xf numFmtId="49" fontId="34" fillId="0" borderId="138" xfId="10" applyNumberFormat="1" applyFont="1" applyFill="1" applyBorder="1" applyAlignment="1" applyProtection="1">
      <alignment horizontal="center" vertical="center" wrapText="1"/>
      <protection locked="0"/>
    </xf>
    <xf numFmtId="49" fontId="34" fillId="0" borderId="99" xfId="10" applyNumberFormat="1" applyFont="1" applyFill="1" applyBorder="1" applyAlignment="1" applyProtection="1">
      <alignment horizontal="center" vertical="center" wrapText="1"/>
      <protection locked="0"/>
    </xf>
    <xf numFmtId="49" fontId="38" fillId="6" borderId="93" xfId="10" applyNumberFormat="1" applyFont="1" applyFill="1" applyBorder="1" applyAlignment="1" applyProtection="1">
      <alignment horizontal="left" vertical="center" wrapText="1"/>
      <protection locked="0"/>
    </xf>
    <xf numFmtId="49" fontId="38" fillId="6" borderId="133" xfId="10" applyNumberFormat="1" applyFont="1" applyFill="1" applyBorder="1" applyAlignment="1" applyProtection="1">
      <alignment horizontal="left" vertical="center" wrapText="1"/>
      <protection locked="0"/>
    </xf>
    <xf numFmtId="49" fontId="40" fillId="10" borderId="108" xfId="10" applyNumberFormat="1" applyFont="1" applyFill="1" applyBorder="1" applyAlignment="1" applyProtection="1">
      <alignment horizontal="left" vertical="center" wrapText="1"/>
      <protection locked="0"/>
    </xf>
    <xf numFmtId="0" fontId="41" fillId="0" borderId="109" xfId="0" applyFont="1" applyBorder="1" applyAlignment="1">
      <alignment horizontal="left" vertical="center" wrapText="1"/>
    </xf>
    <xf numFmtId="49" fontId="38" fillId="0" borderId="117" xfId="10" applyNumberFormat="1" applyFont="1" applyFill="1" applyBorder="1" applyAlignment="1" applyProtection="1">
      <alignment horizontal="center" vertical="center" wrapText="1"/>
      <protection locked="0"/>
    </xf>
    <xf numFmtId="49" fontId="38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38" fillId="0" borderId="119" xfId="10" applyNumberFormat="1" applyFont="1" applyFill="1" applyBorder="1" applyAlignment="1" applyProtection="1">
      <alignment horizontal="center" vertical="center" wrapText="1"/>
      <protection locked="0"/>
    </xf>
    <xf numFmtId="49" fontId="38" fillId="0" borderId="124" xfId="10" applyNumberFormat="1" applyFont="1" applyFill="1" applyBorder="1" applyAlignment="1" applyProtection="1">
      <alignment horizontal="center" vertical="center" wrapText="1"/>
      <protection locked="0"/>
    </xf>
    <xf numFmtId="49" fontId="38" fillId="0" borderId="101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60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61" xfId="0" applyBorder="1" applyAlignment="1">
      <alignment horizontal="left" vertical="center" wrapText="1"/>
    </xf>
    <xf numFmtId="49" fontId="39" fillId="8" borderId="100" xfId="10" applyNumberFormat="1" applyFont="1" applyFill="1" applyBorder="1" applyAlignment="1" applyProtection="1">
      <alignment horizontal="center" vertical="center" wrapText="1"/>
      <protection locked="0"/>
    </xf>
    <xf numFmtId="0" fontId="34" fillId="0" borderId="54" xfId="10" applyNumberFormat="1" applyFont="1" applyFill="1" applyBorder="1" applyAlignment="1" applyProtection="1">
      <alignment horizontal="left" vertical="center"/>
      <protection locked="0"/>
    </xf>
    <xf numFmtId="2" fontId="34" fillId="0" borderId="0" xfId="10" applyNumberFormat="1" applyFont="1" applyFill="1" applyBorder="1" applyAlignment="1" applyProtection="1">
      <alignment horizontal="center" vertical="center" wrapText="1"/>
      <protection locked="0"/>
    </xf>
    <xf numFmtId="2" fontId="34" fillId="0" borderId="1" xfId="10" applyNumberFormat="1" applyFont="1" applyFill="1" applyBorder="1" applyAlignment="1" applyProtection="1">
      <alignment horizontal="center" vertical="center" wrapText="1"/>
      <protection locked="0"/>
    </xf>
    <xf numFmtId="49" fontId="40" fillId="6" borderId="68" xfId="10" applyNumberFormat="1" applyFont="1" applyFill="1" applyBorder="1" applyAlignment="1" applyProtection="1">
      <alignment horizontal="left" vertical="center" wrapText="1"/>
      <protection locked="0"/>
    </xf>
    <xf numFmtId="49" fontId="40" fillId="6" borderId="105" xfId="10" applyNumberFormat="1" applyFont="1" applyFill="1" applyBorder="1" applyAlignment="1" applyProtection="1">
      <alignment horizontal="left" vertical="center" wrapText="1"/>
      <protection locked="0"/>
    </xf>
    <xf numFmtId="0" fontId="34" fillId="0" borderId="123" xfId="10" applyNumberFormat="1" applyFont="1" applyFill="1" applyBorder="1" applyAlignment="1" applyProtection="1">
      <alignment horizontal="center" vertical="center"/>
      <protection locked="0"/>
    </xf>
    <xf numFmtId="0" fontId="34" fillId="0" borderId="0" xfId="10" applyNumberFormat="1" applyFont="1" applyFill="1" applyBorder="1" applyAlignment="1" applyProtection="1">
      <alignment horizontal="center" vertical="center"/>
      <protection locked="0"/>
    </xf>
    <xf numFmtId="0" fontId="34" fillId="0" borderId="1" xfId="10" applyNumberFormat="1" applyFont="1" applyFill="1" applyBorder="1" applyAlignment="1" applyProtection="1">
      <alignment horizontal="center" vertical="center"/>
      <protection locked="0"/>
    </xf>
    <xf numFmtId="49" fontId="34" fillId="6" borderId="68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105" xfId="10" applyNumberFormat="1" applyFont="1" applyFill="1" applyBorder="1" applyAlignment="1" applyProtection="1">
      <alignment horizontal="left" vertical="center" wrapText="1"/>
      <protection locked="0"/>
    </xf>
    <xf numFmtId="49" fontId="34" fillId="0" borderId="141" xfId="10" applyNumberFormat="1" applyFont="1" applyFill="1" applyBorder="1" applyAlignment="1" applyProtection="1">
      <alignment horizontal="left" vertical="center" wrapText="1"/>
      <protection locked="0"/>
    </xf>
    <xf numFmtId="49" fontId="34" fillId="0" borderId="142" xfId="10" applyNumberFormat="1" applyFont="1" applyFill="1" applyBorder="1" applyAlignment="1" applyProtection="1">
      <alignment horizontal="left" vertical="center" wrapText="1"/>
      <protection locked="0"/>
    </xf>
    <xf numFmtId="0" fontId="40" fillId="0" borderId="60" xfId="10" applyNumberFormat="1" applyFont="1" applyFill="1" applyBorder="1" applyAlignment="1" applyProtection="1">
      <alignment horizontal="left" vertical="center"/>
      <protection locked="0"/>
    </xf>
    <xf numFmtId="0" fontId="40" fillId="0" borderId="139" xfId="10" applyNumberFormat="1" applyFont="1" applyFill="1" applyBorder="1" applyAlignment="1" applyProtection="1">
      <alignment horizontal="left" vertical="center"/>
      <protection locked="0"/>
    </xf>
    <xf numFmtId="49" fontId="34" fillId="0" borderId="68" xfId="10" applyNumberFormat="1" applyFont="1" applyFill="1" applyBorder="1" applyAlignment="1" applyProtection="1">
      <alignment horizontal="left" vertical="center" wrapText="1"/>
      <protection locked="0"/>
    </xf>
    <xf numFmtId="49" fontId="34" fillId="0" borderId="105" xfId="10" applyNumberFormat="1" applyFont="1" applyFill="1" applyBorder="1" applyAlignment="1" applyProtection="1">
      <alignment horizontal="left" vertical="center" wrapText="1"/>
      <protection locked="0"/>
    </xf>
    <xf numFmtId="0" fontId="40" fillId="0" borderId="97" xfId="10" applyNumberFormat="1" applyFont="1" applyFill="1" applyBorder="1" applyAlignment="1" applyProtection="1">
      <alignment horizontal="left" vertical="center"/>
      <protection locked="0"/>
    </xf>
    <xf numFmtId="0" fontId="40" fillId="0" borderId="100" xfId="10" applyNumberFormat="1" applyFont="1" applyFill="1" applyBorder="1" applyAlignment="1" applyProtection="1">
      <alignment horizontal="left" vertical="center"/>
      <protection locked="0"/>
    </xf>
    <xf numFmtId="49" fontId="38" fillId="15" borderId="108" xfId="10" applyNumberFormat="1" applyFont="1" applyFill="1" applyBorder="1" applyAlignment="1" applyProtection="1">
      <alignment horizontal="center" vertical="center" wrapText="1"/>
      <protection locked="0"/>
    </xf>
    <xf numFmtId="49" fontId="38" fillId="15" borderId="109" xfId="10" applyNumberFormat="1" applyFont="1" applyFill="1" applyBorder="1" applyAlignment="1" applyProtection="1">
      <alignment horizontal="center" vertical="center" wrapText="1"/>
      <protection locked="0"/>
    </xf>
    <xf numFmtId="49" fontId="38" fillId="6" borderId="112" xfId="10" applyNumberFormat="1" applyFont="1" applyFill="1" applyBorder="1" applyAlignment="1" applyProtection="1">
      <alignment horizontal="left" vertical="center" wrapText="1"/>
      <protection locked="0"/>
    </xf>
    <xf numFmtId="49" fontId="38" fillId="6" borderId="113" xfId="10" applyNumberFormat="1" applyFont="1" applyFill="1" applyBorder="1" applyAlignment="1" applyProtection="1">
      <alignment horizontal="left" vertical="center" wrapText="1"/>
      <protection locked="0"/>
    </xf>
    <xf numFmtId="49" fontId="40" fillId="0" borderId="141" xfId="10" applyNumberFormat="1" applyFont="1" applyFill="1" applyBorder="1" applyAlignment="1" applyProtection="1">
      <alignment horizontal="left" vertical="center" wrapText="1"/>
      <protection locked="0"/>
    </xf>
    <xf numFmtId="49" fontId="40" fillId="0" borderId="148" xfId="10" applyNumberFormat="1" applyFont="1" applyFill="1" applyBorder="1" applyAlignment="1" applyProtection="1">
      <alignment horizontal="left" vertical="center" wrapText="1"/>
      <protection locked="0"/>
    </xf>
    <xf numFmtId="49" fontId="34" fillId="10" borderId="114" xfId="10" applyNumberFormat="1" applyFont="1" applyFill="1" applyBorder="1" applyAlignment="1" applyProtection="1">
      <alignment horizontal="center" vertical="center" wrapText="1"/>
      <protection locked="0"/>
    </xf>
    <xf numFmtId="49" fontId="34" fillId="10" borderId="54" xfId="10" applyNumberFormat="1" applyFont="1" applyFill="1" applyBorder="1" applyAlignment="1" applyProtection="1">
      <alignment horizontal="center" vertical="center" wrapText="1"/>
      <protection locked="0"/>
    </xf>
    <xf numFmtId="49" fontId="39" fillId="8" borderId="63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40" xfId="10" applyNumberFormat="1" applyFont="1" applyFill="1" applyBorder="1" applyAlignment="1" applyProtection="1">
      <alignment horizontal="center" vertical="center" wrapText="1"/>
      <protection locked="0"/>
    </xf>
    <xf numFmtId="49" fontId="34" fillId="6" borderId="130" xfId="10" applyNumberFormat="1" applyFont="1" applyFill="1" applyBorder="1" applyAlignment="1" applyProtection="1">
      <alignment horizontal="center" vertical="center" wrapText="1"/>
      <protection locked="0"/>
    </xf>
    <xf numFmtId="49" fontId="38" fillId="0" borderId="137" xfId="10" applyNumberFormat="1" applyFont="1" applyFill="1" applyBorder="1" applyAlignment="1" applyProtection="1">
      <alignment horizontal="left" vertical="center" wrapText="1"/>
      <protection locked="0"/>
    </xf>
    <xf numFmtId="49" fontId="34" fillId="0" borderId="149" xfId="10" applyNumberFormat="1" applyFont="1" applyFill="1" applyBorder="1" applyAlignment="1" applyProtection="1">
      <alignment horizontal="left" vertical="center" wrapText="1"/>
      <protection locked="0"/>
    </xf>
    <xf numFmtId="0" fontId="40" fillId="0" borderId="137" xfId="10" applyNumberFormat="1" applyFont="1" applyFill="1" applyBorder="1" applyAlignment="1" applyProtection="1">
      <alignment horizontal="left" vertical="center"/>
      <protection locked="0"/>
    </xf>
    <xf numFmtId="49" fontId="40" fillId="6" borderId="131" xfId="10" applyNumberFormat="1" applyFont="1" applyFill="1" applyBorder="1" applyAlignment="1" applyProtection="1">
      <alignment horizontal="left" vertical="center" wrapText="1"/>
      <protection locked="0"/>
    </xf>
    <xf numFmtId="0" fontId="8" fillId="0" borderId="60" xfId="1" applyFont="1" applyFill="1" applyBorder="1" applyAlignment="1">
      <alignment horizontal="left" vertical="center" wrapText="1"/>
    </xf>
    <xf numFmtId="0" fontId="40" fillId="0" borderId="63" xfId="10" applyNumberFormat="1" applyFont="1" applyFill="1" applyBorder="1" applyAlignment="1" applyProtection="1">
      <alignment horizontal="left" vertical="center"/>
      <protection locked="0"/>
    </xf>
    <xf numFmtId="0" fontId="40" fillId="0" borderId="61" xfId="10" applyNumberFormat="1" applyFont="1" applyFill="1" applyBorder="1" applyAlignment="1" applyProtection="1">
      <alignment horizontal="left" vertical="center"/>
      <protection locked="0"/>
    </xf>
    <xf numFmtId="0" fontId="7" fillId="0" borderId="60" xfId="1" applyFont="1" applyFill="1" applyBorder="1" applyAlignment="1">
      <alignment horizontal="left" vertical="center"/>
    </xf>
    <xf numFmtId="0" fontId="34" fillId="0" borderId="63" xfId="10" applyNumberFormat="1" applyFont="1" applyFill="1" applyBorder="1" applyAlignment="1" applyProtection="1">
      <alignment horizontal="left" vertical="center"/>
      <protection locked="0"/>
    </xf>
    <xf numFmtId="0" fontId="34" fillId="0" borderId="61" xfId="10" applyNumberFormat="1" applyFont="1" applyFill="1" applyBorder="1" applyAlignment="1" applyProtection="1">
      <alignment horizontal="left" vertical="center"/>
      <protection locked="0"/>
    </xf>
    <xf numFmtId="0" fontId="7" fillId="0" borderId="60" xfId="1" applyFont="1" applyFill="1" applyBorder="1" applyAlignment="1">
      <alignment horizontal="left" vertical="center" wrapText="1"/>
    </xf>
    <xf numFmtId="0" fontId="9" fillId="9" borderId="60" xfId="1" applyFont="1" applyFill="1" applyBorder="1" applyAlignment="1">
      <alignment horizontal="left" vertical="center"/>
    </xf>
    <xf numFmtId="0" fontId="39" fillId="9" borderId="63" xfId="10" applyNumberFormat="1" applyFont="1" applyFill="1" applyBorder="1" applyAlignment="1" applyProtection="1">
      <alignment horizontal="left" vertical="center"/>
      <protection locked="0"/>
    </xf>
    <xf numFmtId="0" fontId="39" fillId="9" borderId="61" xfId="10" applyNumberFormat="1" applyFont="1" applyFill="1" applyBorder="1" applyAlignment="1" applyProtection="1">
      <alignment horizontal="left" vertical="center"/>
      <protection locked="0"/>
    </xf>
    <xf numFmtId="49" fontId="38" fillId="15" borderId="53" xfId="10" applyNumberFormat="1" applyFont="1" applyFill="1" applyBorder="1" applyAlignment="1" applyProtection="1">
      <alignment horizontal="center" vertical="top" wrapText="1"/>
      <protection locked="0"/>
    </xf>
    <xf numFmtId="49" fontId="9" fillId="9" borderId="53" xfId="1" applyNumberFormat="1" applyFont="1" applyFill="1" applyBorder="1" applyAlignment="1">
      <alignment horizontal="left" vertical="center"/>
    </xf>
    <xf numFmtId="0" fontId="8" fillId="0" borderId="60" xfId="1" applyFont="1" applyFill="1" applyBorder="1" applyAlignment="1">
      <alignment horizontal="left" vertical="center"/>
    </xf>
    <xf numFmtId="49" fontId="34" fillId="0" borderId="69" xfId="10" applyNumberFormat="1" applyFont="1" applyFill="1" applyBorder="1" applyAlignment="1" applyProtection="1">
      <alignment horizontal="left" vertical="center" wrapText="1"/>
      <protection locked="0"/>
    </xf>
    <xf numFmtId="49" fontId="34" fillId="6" borderId="69" xfId="10" applyNumberFormat="1" applyFont="1" applyFill="1" applyBorder="1" applyAlignment="1" applyProtection="1">
      <alignment horizontal="left" vertical="center" wrapText="1"/>
      <protection locked="0"/>
    </xf>
    <xf numFmtId="49" fontId="38" fillId="6" borderId="0" xfId="10" applyNumberFormat="1" applyFont="1" applyFill="1" applyBorder="1" applyAlignment="1" applyProtection="1">
      <alignment horizontal="center" vertical="center" wrapText="1"/>
      <protection locked="0"/>
    </xf>
    <xf numFmtId="49" fontId="38" fillId="6" borderId="1" xfId="10" applyNumberFormat="1" applyFont="1" applyFill="1" applyBorder="1" applyAlignment="1" applyProtection="1">
      <alignment horizontal="center" vertical="center" wrapText="1"/>
      <protection locked="0"/>
    </xf>
    <xf numFmtId="49" fontId="12" fillId="23" borderId="12" xfId="1" applyNumberFormat="1" applyFont="1" applyFill="1" applyBorder="1" applyAlignment="1">
      <alignment horizontal="center" vertical="center"/>
    </xf>
    <xf numFmtId="49" fontId="12" fillId="23" borderId="16" xfId="1" applyNumberFormat="1" applyFont="1" applyFill="1" applyBorder="1" applyAlignment="1">
      <alignment horizontal="center" vertical="center"/>
    </xf>
    <xf numFmtId="49" fontId="12" fillId="23" borderId="31" xfId="1" applyNumberFormat="1" applyFont="1" applyFill="1" applyBorder="1" applyAlignment="1">
      <alignment horizontal="center" vertical="center"/>
    </xf>
    <xf numFmtId="0" fontId="13" fillId="0" borderId="53" xfId="1" applyFont="1" applyFill="1" applyBorder="1" applyAlignment="1">
      <alignment horizontal="center" vertical="center"/>
    </xf>
    <xf numFmtId="49" fontId="9" fillId="24" borderId="32" xfId="1" applyNumberFormat="1" applyFont="1" applyFill="1" applyBorder="1" applyAlignment="1">
      <alignment horizontal="left" vertical="center"/>
    </xf>
    <xf numFmtId="49" fontId="12" fillId="0" borderId="77" xfId="1" applyNumberFormat="1" applyFont="1" applyFill="1" applyBorder="1" applyAlignment="1">
      <alignment horizontal="center" vertical="top"/>
    </xf>
    <xf numFmtId="49" fontId="12" fillId="0" borderId="101" xfId="1" applyNumberFormat="1" applyFont="1" applyFill="1" applyBorder="1" applyAlignment="1">
      <alignment horizontal="center" vertical="top"/>
    </xf>
    <xf numFmtId="49" fontId="12" fillId="0" borderId="78" xfId="1" applyNumberFormat="1" applyFont="1" applyFill="1" applyBorder="1" applyAlignment="1">
      <alignment horizontal="center" vertical="top"/>
    </xf>
    <xf numFmtId="49" fontId="13" fillId="0" borderId="154" xfId="1" applyNumberFormat="1" applyFont="1" applyFill="1" applyBorder="1" applyAlignment="1">
      <alignment horizontal="center" vertical="center"/>
    </xf>
    <xf numFmtId="0" fontId="14" fillId="0" borderId="53" xfId="1" applyFont="1" applyFill="1" applyBorder="1" applyAlignment="1">
      <alignment horizontal="left" vertical="center" wrapText="1"/>
    </xf>
    <xf numFmtId="49" fontId="13" fillId="0" borderId="53" xfId="1" applyNumberFormat="1" applyFont="1" applyFill="1" applyBorder="1" applyAlignment="1">
      <alignment horizontal="center" vertical="center"/>
    </xf>
    <xf numFmtId="49" fontId="13" fillId="0" borderId="81" xfId="1" applyNumberFormat="1" applyFont="1" applyFill="1" applyBorder="1" applyAlignment="1">
      <alignment horizontal="center" vertical="center"/>
    </xf>
    <xf numFmtId="49" fontId="13" fillId="0" borderId="82" xfId="1" applyNumberFormat="1" applyFont="1" applyFill="1" applyBorder="1" applyAlignment="1">
      <alignment horizontal="center" vertical="center"/>
    </xf>
    <xf numFmtId="49" fontId="13" fillId="0" borderId="77" xfId="1" applyNumberFormat="1" applyFont="1" applyFill="1" applyBorder="1" applyAlignment="1">
      <alignment horizontal="center" vertical="center"/>
    </xf>
    <xf numFmtId="0" fontId="14" fillId="0" borderId="58" xfId="1" applyFont="1" applyFill="1" applyBorder="1" applyAlignment="1">
      <alignment horizontal="left" vertical="center" wrapText="1"/>
    </xf>
    <xf numFmtId="0" fontId="14" fillId="0" borderId="136" xfId="1" applyFont="1" applyFill="1" applyBorder="1" applyAlignment="1">
      <alignment horizontal="left" vertical="center" wrapText="1"/>
    </xf>
    <xf numFmtId="0" fontId="14" fillId="0" borderId="101" xfId="1" applyFont="1" applyFill="1" applyBorder="1" applyAlignment="1">
      <alignment horizontal="left" vertical="center" wrapText="1"/>
    </xf>
    <xf numFmtId="0" fontId="13" fillId="0" borderId="65" xfId="1" applyFont="1" applyFill="1" applyBorder="1" applyAlignment="1">
      <alignment horizontal="center" vertical="center"/>
    </xf>
    <xf numFmtId="0" fontId="13" fillId="0" borderId="66" xfId="1" applyFont="1" applyFill="1" applyBorder="1" applyAlignment="1">
      <alignment horizontal="center" vertical="center"/>
    </xf>
    <xf numFmtId="0" fontId="13" fillId="0" borderId="132" xfId="1" applyFont="1" applyFill="1" applyBorder="1" applyAlignment="1">
      <alignment horizontal="center" vertical="center"/>
    </xf>
    <xf numFmtId="0" fontId="13" fillId="0" borderId="157" xfId="1" applyFont="1" applyFill="1" applyBorder="1" applyAlignment="1">
      <alignment horizontal="center" vertical="center"/>
    </xf>
    <xf numFmtId="49" fontId="49" fillId="0" borderId="77" xfId="1" applyNumberFormat="1" applyFont="1" applyFill="1" applyBorder="1" applyAlignment="1">
      <alignment horizontal="center" vertical="top"/>
    </xf>
    <xf numFmtId="49" fontId="49" fillId="0" borderId="101" xfId="1" applyNumberFormat="1" applyFont="1" applyFill="1" applyBorder="1" applyAlignment="1">
      <alignment horizontal="center" vertical="top"/>
    </xf>
    <xf numFmtId="49" fontId="49" fillId="0" borderId="78" xfId="1" applyNumberFormat="1" applyFont="1" applyFill="1" applyBorder="1" applyAlignment="1">
      <alignment horizontal="center" vertical="top"/>
    </xf>
    <xf numFmtId="0" fontId="13" fillId="0" borderId="58" xfId="1" applyFont="1" applyFill="1" applyBorder="1" applyAlignment="1">
      <alignment horizontal="center" vertical="center"/>
    </xf>
    <xf numFmtId="0" fontId="13" fillId="0" borderId="101" xfId="1" applyFont="1" applyFill="1" applyBorder="1" applyAlignment="1">
      <alignment horizontal="center" vertical="center"/>
    </xf>
    <xf numFmtId="0" fontId="15" fillId="0" borderId="0" xfId="1" applyFont="1" applyAlignment="1">
      <alignment horizontal="right" vertical="center" wrapText="1"/>
    </xf>
    <xf numFmtId="0" fontId="17" fillId="0" borderId="0" xfId="1" applyFont="1" applyBorder="1" applyAlignment="1">
      <alignment horizontal="center" vertical="center" wrapText="1"/>
    </xf>
    <xf numFmtId="0" fontId="81" fillId="0" borderId="0" xfId="1" applyFont="1" applyBorder="1" applyAlignment="1">
      <alignment horizontal="right" vertical="center"/>
    </xf>
    <xf numFmtId="0" fontId="82" fillId="23" borderId="84" xfId="1" applyFont="1" applyFill="1" applyBorder="1" applyAlignment="1">
      <alignment horizontal="center" vertical="center"/>
    </xf>
    <xf numFmtId="0" fontId="82" fillId="23" borderId="154" xfId="1" applyFont="1" applyFill="1" applyBorder="1" applyAlignment="1">
      <alignment horizontal="center" vertical="center"/>
    </xf>
    <xf numFmtId="0" fontId="82" fillId="23" borderId="38" xfId="1" applyFont="1" applyFill="1" applyBorder="1" applyAlignment="1">
      <alignment horizontal="center" vertical="center"/>
    </xf>
    <xf numFmtId="0" fontId="82" fillId="23" borderId="53" xfId="1" applyFont="1" applyFill="1" applyBorder="1" applyAlignment="1">
      <alignment horizontal="center" vertical="center"/>
    </xf>
    <xf numFmtId="0" fontId="83" fillId="23" borderId="38" xfId="1" applyFont="1" applyFill="1" applyBorder="1" applyAlignment="1">
      <alignment horizontal="center" vertical="center"/>
    </xf>
    <xf numFmtId="0" fontId="82" fillId="23" borderId="38" xfId="1" applyFont="1" applyFill="1" applyBorder="1" applyAlignment="1">
      <alignment horizontal="center" vertical="center" wrapText="1"/>
    </xf>
    <xf numFmtId="0" fontId="82" fillId="23" borderId="53" xfId="1" applyFont="1" applyFill="1" applyBorder="1" applyAlignment="1">
      <alignment horizontal="center" vertical="center" wrapText="1"/>
    </xf>
    <xf numFmtId="0" fontId="83" fillId="23" borderId="38" xfId="1" applyFont="1" applyFill="1" applyBorder="1" applyAlignment="1">
      <alignment horizontal="center" vertical="center" wrapText="1"/>
    </xf>
    <xf numFmtId="0" fontId="84" fillId="23" borderId="38" xfId="1" applyFont="1" applyFill="1" applyBorder="1" applyAlignment="1">
      <alignment horizontal="center" vertical="center" wrapText="1"/>
    </xf>
    <xf numFmtId="0" fontId="84" fillId="23" borderId="53" xfId="1" applyFont="1" applyFill="1" applyBorder="1" applyAlignment="1">
      <alignment horizontal="center" vertical="center" wrapText="1"/>
    </xf>
    <xf numFmtId="0" fontId="84" fillId="23" borderId="38" xfId="1" applyFont="1" applyFill="1" applyBorder="1" applyAlignment="1">
      <alignment horizontal="center" vertical="center"/>
    </xf>
    <xf numFmtId="0" fontId="84" fillId="23" borderId="86" xfId="1" applyFont="1" applyFill="1" applyBorder="1" applyAlignment="1">
      <alignment horizontal="center" vertical="center"/>
    </xf>
    <xf numFmtId="49" fontId="13" fillId="0" borderId="155" xfId="1" applyNumberFormat="1" applyFont="1" applyFill="1" applyBorder="1" applyAlignment="1">
      <alignment horizontal="center" vertical="center"/>
    </xf>
    <xf numFmtId="0" fontId="14" fillId="0" borderId="152" xfId="1" applyFont="1" applyFill="1" applyBorder="1" applyAlignment="1">
      <alignment horizontal="left" vertical="center" wrapText="1"/>
    </xf>
    <xf numFmtId="0" fontId="13" fillId="0" borderId="152" xfId="1" applyFont="1" applyFill="1" applyBorder="1" applyAlignment="1">
      <alignment horizontal="center" vertical="center"/>
    </xf>
    <xf numFmtId="49" fontId="13" fillId="0" borderId="152" xfId="1" applyNumberFormat="1" applyFont="1" applyFill="1" applyBorder="1" applyAlignment="1">
      <alignment horizontal="center" vertical="center"/>
    </xf>
    <xf numFmtId="49" fontId="9" fillId="24" borderId="38" xfId="1" applyNumberFormat="1" applyFont="1" applyFill="1" applyBorder="1" applyAlignment="1">
      <alignment horizontal="left" vertical="center"/>
    </xf>
    <xf numFmtId="49" fontId="12" fillId="0" borderId="154" xfId="1" applyNumberFormat="1" applyFont="1" applyFill="1" applyBorder="1" applyAlignment="1">
      <alignment horizontal="center" vertical="top"/>
    </xf>
    <xf numFmtId="49" fontId="12" fillId="0" borderId="53" xfId="1" applyNumberFormat="1" applyFont="1" applyFill="1" applyBorder="1" applyAlignment="1">
      <alignment horizontal="center" vertical="top"/>
    </xf>
    <xf numFmtId="49" fontId="12" fillId="0" borderId="80" xfId="1" applyNumberFormat="1" applyFont="1" applyFill="1" applyBorder="1" applyAlignment="1">
      <alignment horizontal="center" vertical="top"/>
    </xf>
    <xf numFmtId="0" fontId="13" fillId="0" borderId="136" xfId="1" applyFont="1" applyFill="1" applyBorder="1" applyAlignment="1">
      <alignment horizontal="center" vertical="center"/>
    </xf>
    <xf numFmtId="49" fontId="13" fillId="0" borderId="58" xfId="1" applyNumberFormat="1" applyFont="1" applyFill="1" applyBorder="1" applyAlignment="1">
      <alignment horizontal="center" vertical="center"/>
    </xf>
    <xf numFmtId="49" fontId="13" fillId="0" borderId="136" xfId="1" applyNumberFormat="1" applyFont="1" applyFill="1" applyBorder="1" applyAlignment="1">
      <alignment horizontal="center" vertical="center"/>
    </xf>
    <xf numFmtId="49" fontId="13" fillId="0" borderId="101" xfId="1" applyNumberFormat="1" applyFont="1" applyFill="1" applyBorder="1" applyAlignment="1">
      <alignment horizontal="center" vertical="center"/>
    </xf>
    <xf numFmtId="49" fontId="9" fillId="24" borderId="101" xfId="1" applyNumberFormat="1" applyFont="1" applyFill="1" applyBorder="1" applyAlignment="1">
      <alignment horizontal="left" vertical="center"/>
    </xf>
    <xf numFmtId="0" fontId="13" fillId="0" borderId="60" xfId="1" applyFont="1" applyFill="1" applyBorder="1" applyAlignment="1">
      <alignment horizontal="center" vertical="center"/>
    </xf>
    <xf numFmtId="0" fontId="13" fillId="0" borderId="61" xfId="1" applyFont="1" applyFill="1" applyBorder="1" applyAlignment="1">
      <alignment horizontal="center" vertical="center"/>
    </xf>
    <xf numFmtId="49" fontId="9" fillId="24" borderId="88" xfId="1" applyNumberFormat="1" applyFont="1" applyFill="1" applyBorder="1" applyAlignment="1">
      <alignment horizontal="left" vertical="center"/>
    </xf>
    <xf numFmtId="49" fontId="49" fillId="0" borderId="154" xfId="1" applyNumberFormat="1" applyFont="1" applyFill="1" applyBorder="1" applyAlignment="1">
      <alignment horizontal="center" vertical="top"/>
    </xf>
    <xf numFmtId="49" fontId="49" fillId="0" borderId="53" xfId="1" applyNumberFormat="1" applyFont="1" applyFill="1" applyBorder="1" applyAlignment="1">
      <alignment horizontal="center" vertical="top"/>
    </xf>
    <xf numFmtId="49" fontId="49" fillId="0" borderId="80" xfId="1" applyNumberFormat="1" applyFont="1" applyFill="1" applyBorder="1" applyAlignment="1">
      <alignment horizontal="center" vertical="top"/>
    </xf>
    <xf numFmtId="0" fontId="13" fillId="0" borderId="58" xfId="1" applyFont="1" applyFill="1" applyBorder="1" applyAlignment="1">
      <alignment horizontal="left" vertical="center" wrapText="1"/>
    </xf>
    <xf numFmtId="0" fontId="13" fillId="0" borderId="136" xfId="1" applyFont="1" applyFill="1" applyBorder="1" applyAlignment="1">
      <alignment horizontal="left" vertical="center" wrapText="1"/>
    </xf>
    <xf numFmtId="0" fontId="13" fillId="0" borderId="101" xfId="1" applyFont="1" applyFill="1" applyBorder="1" applyAlignment="1">
      <alignment horizontal="left" vertical="center" wrapText="1"/>
    </xf>
    <xf numFmtId="0" fontId="13" fillId="0" borderId="158" xfId="1" applyFont="1" applyFill="1" applyBorder="1" applyAlignment="1">
      <alignment horizontal="center" vertical="center"/>
    </xf>
    <xf numFmtId="0" fontId="13" fillId="0" borderId="159" xfId="1" applyFont="1" applyFill="1" applyBorder="1" applyAlignment="1">
      <alignment horizontal="center" vertical="center"/>
    </xf>
    <xf numFmtId="0" fontId="13" fillId="0" borderId="53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15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wrapText="1"/>
    </xf>
    <xf numFmtId="0" fontId="22" fillId="0" borderId="0" xfId="1" applyFont="1" applyBorder="1" applyAlignment="1">
      <alignment horizontal="left" vertical="center"/>
    </xf>
    <xf numFmtId="0" fontId="12" fillId="0" borderId="11" xfId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12" fillId="4" borderId="12" xfId="1" applyFont="1" applyFill="1" applyBorder="1" applyAlignment="1">
      <alignment horizontal="center" vertical="center" wrapText="1"/>
    </xf>
    <xf numFmtId="0" fontId="12" fillId="4" borderId="15" xfId="1" applyFont="1" applyFill="1" applyBorder="1" applyAlignment="1">
      <alignment horizontal="center" vertical="center" wrapText="1"/>
    </xf>
    <xf numFmtId="0" fontId="17" fillId="2" borderId="12" xfId="1" applyFont="1" applyFill="1" applyBorder="1" applyAlignment="1">
      <alignment horizontal="center" vertical="center"/>
    </xf>
    <xf numFmtId="0" fontId="17" fillId="2" borderId="16" xfId="1" applyFont="1" applyFill="1" applyBorder="1" applyAlignment="1">
      <alignment horizontal="center" vertical="center"/>
    </xf>
    <xf numFmtId="0" fontId="17" fillId="2" borderId="15" xfId="1" applyFont="1" applyFill="1" applyBorder="1" applyAlignment="1">
      <alignment horizontal="center" vertical="center"/>
    </xf>
    <xf numFmtId="0" fontId="11" fillId="4" borderId="12" xfId="1" applyFont="1" applyFill="1" applyBorder="1" applyAlignment="1">
      <alignment horizontal="center" vertical="center"/>
    </xf>
    <xf numFmtId="0" fontId="11" fillId="4" borderId="16" xfId="1" applyFont="1" applyFill="1" applyBorder="1" applyAlignment="1">
      <alignment horizontal="center" vertical="center"/>
    </xf>
    <xf numFmtId="0" fontId="11" fillId="4" borderId="15" xfId="1" applyFont="1" applyFill="1" applyBorder="1" applyAlignment="1">
      <alignment horizontal="center" vertical="center"/>
    </xf>
    <xf numFmtId="0" fontId="11" fillId="3" borderId="12" xfId="1" applyFont="1" applyFill="1" applyBorder="1" applyAlignment="1">
      <alignment horizontal="center" vertical="center"/>
    </xf>
    <xf numFmtId="0" fontId="11" fillId="3" borderId="16" xfId="1" applyFont="1" applyFill="1" applyBorder="1" applyAlignment="1">
      <alignment horizontal="center" vertical="center"/>
    </xf>
    <xf numFmtId="0" fontId="11" fillId="3" borderId="15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22" fillId="0" borderId="0" xfId="1" applyFont="1" applyBorder="1" applyAlignment="1">
      <alignment horizontal="left"/>
    </xf>
    <xf numFmtId="0" fontId="12" fillId="0" borderId="24" xfId="1" applyFont="1" applyBorder="1" applyAlignment="1">
      <alignment horizontal="center" vertical="center"/>
    </xf>
    <xf numFmtId="0" fontId="12" fillId="0" borderId="21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1" fillId="4" borderId="12" xfId="1" applyFont="1" applyFill="1" applyBorder="1" applyAlignment="1">
      <alignment horizontal="center" vertical="center" wrapText="1"/>
    </xf>
    <xf numFmtId="0" fontId="11" fillId="4" borderId="15" xfId="1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3" fontId="12" fillId="0" borderId="58" xfId="1" applyNumberFormat="1" applyFont="1" applyBorder="1" applyAlignment="1">
      <alignment horizontal="center" vertical="center"/>
    </xf>
    <xf numFmtId="3" fontId="12" fillId="0" borderId="124" xfId="1" applyNumberFormat="1" applyFont="1" applyBorder="1" applyAlignment="1">
      <alignment horizontal="center" vertical="center"/>
    </xf>
    <xf numFmtId="3" fontId="12" fillId="0" borderId="88" xfId="1" applyNumberFormat="1" applyFont="1" applyBorder="1" applyAlignment="1">
      <alignment horizontal="center" vertical="center"/>
    </xf>
    <xf numFmtId="0" fontId="74" fillId="0" borderId="124" xfId="4" applyFont="1" applyBorder="1" applyAlignment="1">
      <alignment horizontal="center" vertical="center"/>
    </xf>
    <xf numFmtId="0" fontId="74" fillId="0" borderId="88" xfId="4" applyFont="1" applyBorder="1" applyAlignment="1">
      <alignment horizontal="center" vertical="center"/>
    </xf>
    <xf numFmtId="0" fontId="74" fillId="0" borderId="58" xfId="4" applyFont="1" applyBorder="1" applyAlignment="1">
      <alignment horizontal="center" vertical="center"/>
    </xf>
    <xf numFmtId="0" fontId="16" fillId="0" borderId="0" xfId="1" applyFont="1" applyAlignment="1">
      <alignment horizontal="center"/>
    </xf>
    <xf numFmtId="0" fontId="19" fillId="0" borderId="0" xfId="1" applyFont="1" applyAlignment="1">
      <alignment horizontal="center" vertical="center" wrapText="1"/>
    </xf>
    <xf numFmtId="0" fontId="11" fillId="3" borderId="7" xfId="1" applyFont="1" applyFill="1" applyBorder="1" applyAlignment="1">
      <alignment horizontal="center" vertical="center"/>
    </xf>
    <xf numFmtId="0" fontId="11" fillId="3" borderId="7" xfId="1" applyFont="1" applyFill="1" applyBorder="1" applyAlignment="1">
      <alignment horizontal="center" vertical="center" wrapText="1"/>
    </xf>
    <xf numFmtId="0" fontId="11" fillId="3" borderId="15" xfId="1" applyFont="1" applyFill="1" applyBorder="1" applyAlignment="1">
      <alignment horizontal="center" vertical="center" wrapText="1"/>
    </xf>
    <xf numFmtId="0" fontId="11" fillId="3" borderId="12" xfId="1" applyFont="1" applyFill="1" applyBorder="1" applyAlignment="1">
      <alignment horizontal="center" vertical="center" wrapText="1"/>
    </xf>
    <xf numFmtId="3" fontId="11" fillId="3" borderId="7" xfId="1" applyNumberFormat="1" applyFont="1" applyFill="1" applyBorder="1" applyAlignment="1">
      <alignment horizontal="center" vertical="center" wrapText="1"/>
    </xf>
    <xf numFmtId="0" fontId="5" fillId="0" borderId="0" xfId="1" applyAlignment="1">
      <alignment horizontal="center" wrapText="1"/>
    </xf>
    <xf numFmtId="0" fontId="74" fillId="0" borderId="85" xfId="4" applyFont="1" applyBorder="1" applyAlignment="1">
      <alignment horizontal="center" vertical="center"/>
    </xf>
    <xf numFmtId="3" fontId="74" fillId="0" borderId="58" xfId="4" applyNumberFormat="1" applyFont="1" applyBorder="1" applyAlignment="1">
      <alignment horizontal="center" vertical="center"/>
    </xf>
    <xf numFmtId="3" fontId="74" fillId="0" borderId="124" xfId="4" applyNumberFormat="1" applyFont="1" applyBorder="1" applyAlignment="1">
      <alignment horizontal="center" vertical="center"/>
    </xf>
    <xf numFmtId="0" fontId="12" fillId="11" borderId="150" xfId="1" applyFont="1" applyFill="1" applyBorder="1" applyAlignment="1">
      <alignment horizontal="center" vertical="center"/>
    </xf>
    <xf numFmtId="0" fontId="12" fillId="11" borderId="82" xfId="1" applyFont="1" applyFill="1" applyBorder="1" applyAlignment="1">
      <alignment horizontal="center" vertical="center"/>
    </xf>
    <xf numFmtId="0" fontId="12" fillId="11" borderId="151" xfId="1" applyFont="1" applyFill="1" applyBorder="1" applyAlignment="1">
      <alignment horizontal="center" vertical="center"/>
    </xf>
    <xf numFmtId="0" fontId="7" fillId="11" borderId="38" xfId="1" applyFont="1" applyFill="1" applyBorder="1" applyAlignment="1">
      <alignment horizontal="left" vertical="center" wrapText="1"/>
    </xf>
    <xf numFmtId="0" fontId="7" fillId="11" borderId="53" xfId="1" applyFont="1" applyFill="1" applyBorder="1" applyAlignment="1">
      <alignment horizontal="left" vertical="center" wrapText="1"/>
    </xf>
    <xf numFmtId="0" fontId="7" fillId="11" borderId="58" xfId="1" applyFont="1" applyFill="1" applyBorder="1" applyAlignment="1">
      <alignment horizontal="left" vertical="center" wrapText="1"/>
    </xf>
    <xf numFmtId="49" fontId="12" fillId="11" borderId="85" xfId="1" applyNumberFormat="1" applyFont="1" applyFill="1" applyBorder="1" applyAlignment="1">
      <alignment horizontal="center" vertical="center"/>
    </xf>
    <xf numFmtId="49" fontId="12" fillId="11" borderId="124" xfId="1" applyNumberFormat="1" applyFont="1" applyFill="1" applyBorder="1" applyAlignment="1">
      <alignment horizontal="center" vertical="center"/>
    </xf>
    <xf numFmtId="49" fontId="12" fillId="11" borderId="88" xfId="1" applyNumberFormat="1" applyFont="1" applyFill="1" applyBorder="1" applyAlignment="1">
      <alignment horizontal="center" vertical="center"/>
    </xf>
    <xf numFmtId="3" fontId="12" fillId="11" borderId="85" xfId="1" applyNumberFormat="1" applyFont="1" applyFill="1" applyBorder="1" applyAlignment="1">
      <alignment horizontal="center" vertical="center"/>
    </xf>
    <xf numFmtId="3" fontId="12" fillId="11" borderId="124" xfId="1" applyNumberFormat="1" applyFont="1" applyFill="1" applyBorder="1" applyAlignment="1">
      <alignment horizontal="center" vertical="center"/>
    </xf>
    <xf numFmtId="3" fontId="12" fillId="11" borderId="88" xfId="1" applyNumberFormat="1" applyFont="1" applyFill="1" applyBorder="1" applyAlignment="1">
      <alignment horizontal="center" vertical="center"/>
    </xf>
    <xf numFmtId="49" fontId="12" fillId="11" borderId="38" xfId="1" applyNumberFormat="1" applyFont="1" applyFill="1" applyBorder="1" applyAlignment="1">
      <alignment horizontal="center" vertical="center"/>
    </xf>
    <xf numFmtId="49" fontId="12" fillId="11" borderId="53" xfId="1" applyNumberFormat="1" applyFont="1" applyFill="1" applyBorder="1" applyAlignment="1">
      <alignment horizontal="center" vertical="center"/>
    </xf>
    <xf numFmtId="49" fontId="12" fillId="11" borderId="152" xfId="1" applyNumberFormat="1" applyFont="1" applyFill="1" applyBorder="1" applyAlignment="1">
      <alignment horizontal="center" vertical="center"/>
    </xf>
    <xf numFmtId="3" fontId="74" fillId="0" borderId="124" xfId="4" applyNumberFormat="1" applyFont="1" applyBorder="1" applyAlignment="1">
      <alignment horizontal="right" vertical="center"/>
    </xf>
    <xf numFmtId="3" fontId="74" fillId="0" borderId="88" xfId="4" applyNumberFormat="1" applyFont="1" applyBorder="1" applyAlignment="1">
      <alignment horizontal="right" vertical="center"/>
    </xf>
    <xf numFmtId="0" fontId="12" fillId="0" borderId="81" xfId="1" applyFont="1" applyFill="1" applyBorder="1" applyAlignment="1">
      <alignment horizontal="center" vertical="center"/>
    </xf>
    <xf numFmtId="0" fontId="12" fillId="0" borderId="77" xfId="1" applyFont="1" applyFill="1" applyBorder="1" applyAlignment="1">
      <alignment horizontal="center" vertical="center"/>
    </xf>
    <xf numFmtId="0" fontId="7" fillId="0" borderId="58" xfId="1" applyFont="1" applyBorder="1" applyAlignment="1">
      <alignment horizontal="left" vertical="center" wrapText="1"/>
    </xf>
    <xf numFmtId="0" fontId="7" fillId="0" borderId="101" xfId="1" applyFont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65" fillId="0" borderId="84" xfId="1" applyFont="1" applyBorder="1" applyAlignment="1">
      <alignment horizontal="center" vertical="center"/>
    </xf>
    <xf numFmtId="0" fontId="65" fillId="0" borderId="155" xfId="1" applyFont="1" applyBorder="1" applyAlignment="1">
      <alignment horizontal="center" vertical="center"/>
    </xf>
    <xf numFmtId="49" fontId="12" fillId="0" borderId="38" xfId="1" applyNumberFormat="1" applyFont="1" applyFill="1" applyBorder="1" applyAlignment="1">
      <alignment horizontal="center" vertical="center"/>
    </xf>
    <xf numFmtId="49" fontId="12" fillId="0" borderId="152" xfId="1" applyNumberFormat="1" applyFont="1" applyFill="1" applyBorder="1" applyAlignment="1">
      <alignment horizontal="center" vertical="center"/>
    </xf>
    <xf numFmtId="49" fontId="12" fillId="0" borderId="38" xfId="1" applyNumberFormat="1" applyFont="1" applyBorder="1" applyAlignment="1">
      <alignment horizontal="center" vertical="center"/>
    </xf>
    <xf numFmtId="49" fontId="12" fillId="0" borderId="152" xfId="1" applyNumberFormat="1" applyFont="1" applyBorder="1" applyAlignment="1">
      <alignment horizontal="center" vertical="center"/>
    </xf>
    <xf numFmtId="0" fontId="7" fillId="0" borderId="86" xfId="1" applyFont="1" applyBorder="1" applyAlignment="1">
      <alignment horizontal="left" vertical="center" wrapText="1"/>
    </xf>
    <xf numFmtId="0" fontId="7" fillId="0" borderId="153" xfId="1" applyFont="1" applyBorder="1" applyAlignment="1">
      <alignment horizontal="left" vertical="center" wrapText="1"/>
    </xf>
    <xf numFmtId="49" fontId="11" fillId="3" borderId="7" xfId="1" applyNumberFormat="1" applyFont="1" applyFill="1" applyBorder="1" applyAlignment="1">
      <alignment horizontal="center" vertical="center"/>
    </xf>
    <xf numFmtId="0" fontId="65" fillId="0" borderId="82" xfId="1" applyFont="1" applyBorder="1" applyAlignment="1">
      <alignment horizontal="center" vertical="center"/>
    </xf>
    <xf numFmtId="49" fontId="12" fillId="0" borderId="136" xfId="1" applyNumberFormat="1" applyFont="1" applyBorder="1" applyAlignment="1">
      <alignment horizontal="center" vertical="center"/>
    </xf>
    <xf numFmtId="3" fontId="7" fillId="0" borderId="38" xfId="1" applyNumberFormat="1" applyFont="1" applyBorder="1" applyAlignment="1">
      <alignment horizontal="right" vertical="center"/>
    </xf>
    <xf numFmtId="3" fontId="7" fillId="0" borderId="152" xfId="1" applyNumberFormat="1" applyFont="1" applyBorder="1" applyAlignment="1">
      <alignment horizontal="right" vertical="center"/>
    </xf>
    <xf numFmtId="0" fontId="7" fillId="0" borderId="0" xfId="1" applyFont="1" applyAlignment="1">
      <alignment horizontal="center" vertical="top"/>
    </xf>
    <xf numFmtId="0" fontId="16" fillId="0" borderId="0" xfId="1" applyFont="1" applyAlignment="1">
      <alignment horizontal="center" vertical="top"/>
    </xf>
    <xf numFmtId="0" fontId="19" fillId="0" borderId="0" xfId="1" applyFont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 wrapText="1"/>
    </xf>
    <xf numFmtId="0" fontId="22" fillId="2" borderId="12" xfId="1" applyFont="1" applyFill="1" applyBorder="1" applyAlignment="1">
      <alignment horizontal="center" vertical="center" wrapText="1"/>
    </xf>
    <xf numFmtId="0" fontId="22" fillId="2" borderId="15" xfId="1" applyFont="1" applyFill="1" applyBorder="1" applyAlignment="1">
      <alignment horizontal="center" vertical="center" wrapText="1"/>
    </xf>
    <xf numFmtId="0" fontId="22" fillId="2" borderId="24" xfId="1" applyFont="1" applyFill="1" applyBorder="1" applyAlignment="1">
      <alignment horizontal="center" vertical="center" wrapText="1"/>
    </xf>
    <xf numFmtId="0" fontId="22" fillId="2" borderId="17" xfId="1" applyFont="1" applyFill="1" applyBorder="1" applyAlignment="1">
      <alignment horizontal="center" vertical="center" wrapText="1"/>
    </xf>
    <xf numFmtId="49" fontId="11" fillId="3" borderId="12" xfId="1" applyNumberFormat="1" applyFont="1" applyFill="1" applyBorder="1" applyAlignment="1">
      <alignment horizontal="center" vertical="center" wrapText="1"/>
    </xf>
    <xf numFmtId="49" fontId="11" fillId="3" borderId="15" xfId="1" applyNumberFormat="1" applyFont="1" applyFill="1" applyBorder="1" applyAlignment="1">
      <alignment horizontal="center" vertical="center" wrapText="1"/>
    </xf>
    <xf numFmtId="49" fontId="11" fillId="0" borderId="24" xfId="1" applyNumberFormat="1" applyFont="1" applyBorder="1" applyAlignment="1">
      <alignment horizontal="center" vertical="center"/>
    </xf>
    <xf numFmtId="49" fontId="11" fillId="0" borderId="21" xfId="1" applyNumberFormat="1" applyFont="1" applyBorder="1" applyAlignment="1">
      <alignment horizontal="center" vertical="center"/>
    </xf>
    <xf numFmtId="49" fontId="11" fillId="0" borderId="17" xfId="1" applyNumberFormat="1" applyFont="1" applyBorder="1" applyAlignment="1">
      <alignment horizontal="center" vertical="center"/>
    </xf>
    <xf numFmtId="49" fontId="17" fillId="2" borderId="7" xfId="1" applyNumberFormat="1" applyFont="1" applyFill="1" applyBorder="1" applyAlignment="1">
      <alignment horizontal="center" vertical="center"/>
    </xf>
    <xf numFmtId="0" fontId="11" fillId="5" borderId="46" xfId="1" applyFont="1" applyFill="1" applyBorder="1" applyAlignment="1">
      <alignment horizontal="center" vertical="center" wrapText="1"/>
    </xf>
    <xf numFmtId="0" fontId="11" fillId="5" borderId="45" xfId="1" applyFont="1" applyFill="1" applyBorder="1" applyAlignment="1">
      <alignment horizontal="center" vertical="center" wrapText="1"/>
    </xf>
    <xf numFmtId="49" fontId="24" fillId="0" borderId="14" xfId="1" applyNumberFormat="1" applyFont="1" applyBorder="1" applyAlignment="1">
      <alignment horizontal="center" vertical="center"/>
    </xf>
    <xf numFmtId="49" fontId="24" fillId="0" borderId="25" xfId="1" applyNumberFormat="1" applyFont="1" applyBorder="1" applyAlignment="1">
      <alignment horizontal="center" vertical="center"/>
    </xf>
    <xf numFmtId="49" fontId="77" fillId="0" borderId="102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103" xfId="10" applyNumberFormat="1" applyFont="1" applyFill="1" applyBorder="1" applyAlignment="1" applyProtection="1">
      <alignment horizontal="center" vertical="center" wrapText="1"/>
      <protection locked="0"/>
    </xf>
    <xf numFmtId="0" fontId="11" fillId="4" borderId="16" xfId="1" applyFont="1" applyFill="1" applyBorder="1" applyAlignment="1">
      <alignment horizontal="center" vertical="center" wrapText="1"/>
    </xf>
    <xf numFmtId="49" fontId="11" fillId="2" borderId="7" xfId="1" applyNumberFormat="1" applyFont="1" applyFill="1" applyBorder="1" applyAlignment="1">
      <alignment horizontal="center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center" vertical="center" wrapText="1"/>
    </xf>
    <xf numFmtId="0" fontId="11" fillId="2" borderId="24" xfId="1" applyFont="1" applyFill="1" applyBorder="1" applyAlignment="1">
      <alignment horizontal="center" vertical="center"/>
    </xf>
    <xf numFmtId="0" fontId="11" fillId="2" borderId="21" xfId="1" applyFont="1" applyFill="1" applyBorder="1" applyAlignment="1">
      <alignment horizontal="center" vertical="center"/>
    </xf>
    <xf numFmtId="0" fontId="11" fillId="2" borderId="17" xfId="1" applyFont="1" applyFill="1" applyBorder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17" fillId="0" borderId="35" xfId="1" applyFont="1" applyFill="1" applyBorder="1" applyAlignment="1">
      <alignment horizontal="center" vertical="center" wrapText="1"/>
    </xf>
    <xf numFmtId="0" fontId="11" fillId="3" borderId="31" xfId="1" applyFont="1" applyFill="1" applyBorder="1" applyAlignment="1">
      <alignment horizontal="center" vertical="center"/>
    </xf>
    <xf numFmtId="0" fontId="11" fillId="3" borderId="32" xfId="1" applyFont="1" applyFill="1" applyBorder="1" applyAlignment="1">
      <alignment horizontal="center" vertical="center"/>
    </xf>
    <xf numFmtId="0" fontId="11" fillId="3" borderId="45" xfId="1" applyFont="1" applyFill="1" applyBorder="1" applyAlignment="1">
      <alignment horizontal="center" vertical="center"/>
    </xf>
    <xf numFmtId="0" fontId="11" fillId="3" borderId="46" xfId="1" applyFont="1" applyFill="1" applyBorder="1" applyAlignment="1">
      <alignment horizontal="center" vertical="center"/>
    </xf>
    <xf numFmtId="0" fontId="11" fillId="3" borderId="34" xfId="1" applyFont="1" applyFill="1" applyBorder="1" applyAlignment="1">
      <alignment horizontal="center" vertical="center"/>
    </xf>
    <xf numFmtId="49" fontId="11" fillId="0" borderId="21" xfId="1" applyNumberFormat="1" applyFont="1" applyBorder="1" applyAlignment="1">
      <alignment horizontal="center" vertical="center" wrapText="1"/>
    </xf>
    <xf numFmtId="49" fontId="11" fillId="0" borderId="9" xfId="1" applyNumberFormat="1" applyFont="1" applyBorder="1" applyAlignment="1">
      <alignment horizontal="center" vertical="center" wrapText="1"/>
    </xf>
    <xf numFmtId="49" fontId="11" fillId="0" borderId="25" xfId="1" applyNumberFormat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 vertical="center"/>
    </xf>
    <xf numFmtId="3" fontId="11" fillId="0" borderId="23" xfId="1" applyNumberFormat="1" applyFont="1" applyBorder="1" applyAlignment="1">
      <alignment horizontal="right" vertical="center"/>
    </xf>
    <xf numFmtId="0" fontId="11" fillId="0" borderId="28" xfId="1" applyFont="1" applyBorder="1" applyAlignment="1">
      <alignment horizontal="right" vertical="center"/>
    </xf>
    <xf numFmtId="49" fontId="21" fillId="0" borderId="20" xfId="1" applyNumberFormat="1" applyFont="1" applyBorder="1" applyAlignment="1">
      <alignment horizontal="center" vertical="center" wrapText="1"/>
    </xf>
    <xf numFmtId="49" fontId="21" fillId="0" borderId="21" xfId="1" applyNumberFormat="1" applyFont="1" applyBorder="1" applyAlignment="1">
      <alignment horizontal="center" vertical="center" wrapText="1"/>
    </xf>
    <xf numFmtId="49" fontId="21" fillId="0" borderId="17" xfId="1" applyNumberFormat="1" applyFont="1" applyBorder="1" applyAlignment="1">
      <alignment horizontal="center" vertical="center" wrapText="1"/>
    </xf>
    <xf numFmtId="2" fontId="21" fillId="0" borderId="39" xfId="1" applyNumberFormat="1" applyFont="1" applyBorder="1" applyAlignment="1">
      <alignment horizontal="center" vertical="center"/>
    </xf>
    <xf numFmtId="2" fontId="21" fillId="0" borderId="33" xfId="1" applyNumberFormat="1" applyFont="1" applyBorder="1" applyAlignment="1">
      <alignment horizontal="center" vertical="center"/>
    </xf>
    <xf numFmtId="2" fontId="21" fillId="0" borderId="40" xfId="1" applyNumberFormat="1" applyFont="1" applyBorder="1" applyAlignment="1">
      <alignment horizontal="center" vertical="center"/>
    </xf>
    <xf numFmtId="3" fontId="21" fillId="0" borderId="19" xfId="1" applyNumberFormat="1" applyFont="1" applyBorder="1" applyAlignment="1">
      <alignment horizontal="right" vertical="center"/>
    </xf>
    <xf numFmtId="0" fontId="21" fillId="0" borderId="27" xfId="1" applyFont="1" applyBorder="1" applyAlignment="1">
      <alignment horizontal="right" vertical="center"/>
    </xf>
    <xf numFmtId="0" fontId="27" fillId="4" borderId="39" xfId="1" applyFont="1" applyFill="1" applyBorder="1" applyAlignment="1">
      <alignment horizontal="center" vertical="center"/>
    </xf>
    <xf numFmtId="0" fontId="27" fillId="4" borderId="33" xfId="1" applyFont="1" applyFill="1" applyBorder="1" applyAlignment="1">
      <alignment horizontal="center" vertical="center"/>
    </xf>
    <xf numFmtId="0" fontId="27" fillId="4" borderId="40" xfId="1" applyFont="1" applyFill="1" applyBorder="1" applyAlignment="1">
      <alignment horizontal="center" vertical="center"/>
    </xf>
    <xf numFmtId="3" fontId="28" fillId="0" borderId="19" xfId="1" applyNumberFormat="1" applyFont="1" applyFill="1" applyBorder="1" applyAlignment="1">
      <alignment horizontal="right" vertical="center" wrapText="1"/>
    </xf>
    <xf numFmtId="3" fontId="28" fillId="0" borderId="27" xfId="1" applyNumberFormat="1" applyFont="1" applyFill="1" applyBorder="1" applyAlignment="1">
      <alignment horizontal="right" vertical="center" wrapText="1"/>
    </xf>
    <xf numFmtId="0" fontId="27" fillId="4" borderId="4" xfId="1" applyFont="1" applyFill="1" applyBorder="1" applyAlignment="1">
      <alignment horizontal="center" vertical="center"/>
    </xf>
    <xf numFmtId="0" fontId="27" fillId="4" borderId="35" xfId="1" applyFont="1" applyFill="1" applyBorder="1" applyAlignment="1">
      <alignment horizontal="center" vertical="center"/>
    </xf>
    <xf numFmtId="0" fontId="27" fillId="4" borderId="42" xfId="1" applyFont="1" applyFill="1" applyBorder="1" applyAlignment="1">
      <alignment horizontal="center" vertical="center"/>
    </xf>
    <xf numFmtId="3" fontId="21" fillId="0" borderId="36" xfId="1" applyNumberFormat="1" applyFont="1" applyBorder="1" applyAlignment="1">
      <alignment horizontal="right" vertical="center"/>
    </xf>
    <xf numFmtId="3" fontId="21" fillId="0" borderId="37" xfId="1" applyNumberFormat="1" applyFont="1" applyBorder="1" applyAlignment="1">
      <alignment horizontal="right" vertical="center"/>
    </xf>
    <xf numFmtId="3" fontId="17" fillId="3" borderId="46" xfId="1" applyNumberFormat="1" applyFont="1" applyFill="1" applyBorder="1" applyAlignment="1">
      <alignment horizontal="right" vertical="center"/>
    </xf>
    <xf numFmtId="3" fontId="17" fillId="3" borderId="34" xfId="1" applyNumberFormat="1" applyFont="1" applyFill="1" applyBorder="1" applyAlignment="1">
      <alignment horizontal="right" vertical="center"/>
    </xf>
    <xf numFmtId="0" fontId="17" fillId="0" borderId="35" xfId="1" applyFont="1" applyBorder="1" applyAlignment="1">
      <alignment horizontal="center" vertical="center" wrapText="1"/>
    </xf>
    <xf numFmtId="0" fontId="11" fillId="3" borderId="11" xfId="1" applyFont="1" applyFill="1" applyBorder="1" applyAlignment="1">
      <alignment horizontal="center" vertical="center"/>
    </xf>
    <xf numFmtId="0" fontId="11" fillId="3" borderId="18" xfId="1" applyFont="1" applyFill="1" applyBorder="1" applyAlignment="1">
      <alignment horizontal="center" vertical="center"/>
    </xf>
    <xf numFmtId="0" fontId="11" fillId="3" borderId="10" xfId="1" applyFont="1" applyFill="1" applyBorder="1" applyAlignment="1">
      <alignment horizontal="center" vertical="center"/>
    </xf>
    <xf numFmtId="0" fontId="11" fillId="3" borderId="24" xfId="1" applyFont="1" applyFill="1" applyBorder="1" applyAlignment="1">
      <alignment horizontal="center" vertical="center"/>
    </xf>
    <xf numFmtId="0" fontId="11" fillId="3" borderId="17" xfId="1" applyFont="1" applyFill="1" applyBorder="1" applyAlignment="1">
      <alignment horizontal="center" vertical="center"/>
    </xf>
    <xf numFmtId="0" fontId="11" fillId="3" borderId="11" xfId="1" applyFont="1" applyFill="1" applyBorder="1" applyAlignment="1">
      <alignment horizontal="center" vertical="center" wrapText="1"/>
    </xf>
    <xf numFmtId="0" fontId="11" fillId="3" borderId="48" xfId="1" applyFont="1" applyFill="1" applyBorder="1" applyAlignment="1">
      <alignment horizontal="center" vertical="center"/>
    </xf>
    <xf numFmtId="0" fontId="11" fillId="3" borderId="38" xfId="1" applyFont="1" applyFill="1" applyBorder="1" applyAlignment="1">
      <alignment horizontal="center" vertical="center"/>
    </xf>
    <xf numFmtId="0" fontId="11" fillId="3" borderId="47" xfId="1" applyFont="1" applyFill="1" applyBorder="1" applyAlignment="1">
      <alignment horizontal="center" vertical="center"/>
    </xf>
    <xf numFmtId="0" fontId="11" fillId="3" borderId="18" xfId="1" applyFont="1" applyFill="1" applyBorder="1" applyAlignment="1">
      <alignment horizontal="center" vertical="center" wrapText="1"/>
    </xf>
    <xf numFmtId="49" fontId="11" fillId="0" borderId="20" xfId="1" applyNumberFormat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28" xfId="1" applyFont="1" applyBorder="1" applyAlignment="1">
      <alignment horizontal="center" vertical="center" wrapText="1"/>
    </xf>
    <xf numFmtId="0" fontId="21" fillId="0" borderId="35" xfId="1" applyFont="1" applyBorder="1" applyAlignment="1">
      <alignment horizontal="center" vertical="center" wrapText="1"/>
    </xf>
    <xf numFmtId="49" fontId="11" fillId="3" borderId="12" xfId="1" applyNumberFormat="1" applyFont="1" applyFill="1" applyBorder="1" applyAlignment="1">
      <alignment horizontal="center" vertical="center"/>
    </xf>
    <xf numFmtId="49" fontId="11" fillId="3" borderId="16" xfId="1" applyNumberFormat="1" applyFont="1" applyFill="1" applyBorder="1" applyAlignment="1">
      <alignment horizontal="center" vertical="center"/>
    </xf>
    <xf numFmtId="49" fontId="17" fillId="3" borderId="46" xfId="1" applyNumberFormat="1" applyFont="1" applyFill="1" applyBorder="1" applyAlignment="1">
      <alignment horizontal="center" vertical="center"/>
    </xf>
    <xf numFmtId="49" fontId="17" fillId="3" borderId="32" xfId="1" applyNumberFormat="1" applyFont="1" applyFill="1" applyBorder="1" applyAlignment="1">
      <alignment horizontal="center" vertical="center"/>
    </xf>
    <xf numFmtId="49" fontId="17" fillId="3" borderId="45" xfId="1" applyNumberFormat="1" applyFont="1" applyFill="1" applyBorder="1" applyAlignment="1">
      <alignment horizontal="center" vertical="center"/>
    </xf>
    <xf numFmtId="49" fontId="12" fillId="4" borderId="155" xfId="1" applyNumberFormat="1" applyFont="1" applyFill="1" applyBorder="1" applyAlignment="1">
      <alignment horizontal="center" vertical="center"/>
    </xf>
    <xf numFmtId="49" fontId="12" fillId="4" borderId="152" xfId="1" applyNumberFormat="1" applyFont="1" applyFill="1" applyBorder="1" applyAlignment="1">
      <alignment horizontal="center" vertical="center"/>
    </xf>
    <xf numFmtId="0" fontId="20" fillId="0" borderId="0" xfId="1" applyFont="1" applyAlignment="1">
      <alignment horizontal="center" vertical="center"/>
    </xf>
    <xf numFmtId="49" fontId="12" fillId="0" borderId="0" xfId="1" applyNumberFormat="1" applyFont="1" applyBorder="1" applyAlignment="1">
      <alignment horizontal="center" vertical="center"/>
    </xf>
    <xf numFmtId="0" fontId="18" fillId="0" borderId="0" xfId="1" applyFont="1" applyBorder="1" applyAlignment="1">
      <alignment horizontal="left" vertical="center" wrapText="1"/>
    </xf>
    <xf numFmtId="0" fontId="12" fillId="4" borderId="84" xfId="1" applyFont="1" applyFill="1" applyBorder="1" applyAlignment="1">
      <alignment horizontal="center" vertical="center"/>
    </xf>
    <xf numFmtId="0" fontId="12" fillId="4" borderId="154" xfId="1" applyFont="1" applyFill="1" applyBorder="1" applyAlignment="1">
      <alignment horizontal="center" vertical="center"/>
    </xf>
    <xf numFmtId="0" fontId="12" fillId="4" borderId="38" xfId="1" applyFont="1" applyFill="1" applyBorder="1" applyAlignment="1">
      <alignment horizontal="center" vertical="center"/>
    </xf>
    <xf numFmtId="0" fontId="12" fillId="4" borderId="53" xfId="1" applyFont="1" applyFill="1" applyBorder="1" applyAlignment="1">
      <alignment horizontal="center" vertical="center"/>
    </xf>
    <xf numFmtId="0" fontId="12" fillId="4" borderId="38" xfId="1" applyFont="1" applyFill="1" applyBorder="1" applyAlignment="1">
      <alignment horizontal="center" vertical="center" wrapText="1"/>
    </xf>
    <xf numFmtId="0" fontId="12" fillId="4" borderId="53" xfId="1" applyFont="1" applyFill="1" applyBorder="1" applyAlignment="1">
      <alignment horizontal="center" vertical="center" wrapText="1"/>
    </xf>
    <xf numFmtId="0" fontId="12" fillId="4" borderId="86" xfId="1" applyFont="1" applyFill="1" applyBorder="1" applyAlignment="1">
      <alignment horizontal="center" vertical="center" wrapText="1"/>
    </xf>
    <xf numFmtId="0" fontId="12" fillId="4" borderId="80" xfId="1" applyFont="1" applyFill="1" applyBorder="1" applyAlignment="1">
      <alignment horizontal="center" vertical="center" wrapText="1"/>
    </xf>
    <xf numFmtId="0" fontId="48" fillId="0" borderId="0" xfId="1" applyFont="1" applyAlignment="1">
      <alignment horizontal="center" vertical="center"/>
    </xf>
    <xf numFmtId="0" fontId="12" fillId="4" borderId="102" xfId="1" applyFont="1" applyFill="1" applyBorder="1" applyAlignment="1">
      <alignment horizontal="center" vertical="center" wrapText="1"/>
    </xf>
    <xf numFmtId="0" fontId="12" fillId="4" borderId="78" xfId="1" applyFont="1" applyFill="1" applyBorder="1" applyAlignment="1">
      <alignment horizontal="center" vertical="center" wrapText="1"/>
    </xf>
    <xf numFmtId="0" fontId="7" fillId="0" borderId="81" xfId="1" applyFont="1" applyBorder="1" applyAlignment="1">
      <alignment horizontal="center" vertical="center"/>
    </xf>
    <xf numFmtId="0" fontId="7" fillId="0" borderId="77" xfId="1" applyFont="1" applyBorder="1" applyAlignment="1">
      <alignment horizontal="center" vertical="center"/>
    </xf>
    <xf numFmtId="0" fontId="7" fillId="0" borderId="58" xfId="1" applyFont="1" applyBorder="1" applyAlignment="1">
      <alignment horizontal="center" vertical="center"/>
    </xf>
    <xf numFmtId="0" fontId="7" fillId="0" borderId="101" xfId="1" applyFont="1" applyBorder="1" applyAlignment="1">
      <alignment horizontal="center" vertical="center"/>
    </xf>
    <xf numFmtId="3" fontId="7" fillId="0" borderId="80" xfId="1" applyNumberFormat="1" applyFont="1" applyBorder="1" applyAlignment="1">
      <alignment horizontal="left" vertical="center" wrapText="1"/>
    </xf>
    <xf numFmtId="49" fontId="12" fillId="4" borderId="160" xfId="1" applyNumberFormat="1" applyFont="1" applyFill="1" applyBorder="1" applyAlignment="1">
      <alignment horizontal="center" vertical="center"/>
    </xf>
    <xf numFmtId="49" fontId="12" fillId="4" borderId="161" xfId="1" applyNumberFormat="1" applyFont="1" applyFill="1" applyBorder="1" applyAlignment="1">
      <alignment horizontal="center" vertical="center"/>
    </xf>
    <xf numFmtId="49" fontId="12" fillId="4" borderId="162" xfId="1" applyNumberFormat="1" applyFont="1" applyFill="1" applyBorder="1" applyAlignment="1">
      <alignment horizontal="center" vertical="center"/>
    </xf>
    <xf numFmtId="0" fontId="12" fillId="4" borderId="150" xfId="1" applyFont="1" applyFill="1" applyBorder="1" applyAlignment="1">
      <alignment horizontal="center" vertical="center"/>
    </xf>
    <xf numFmtId="0" fontId="12" fillId="4" borderId="77" xfId="1" applyFont="1" applyFill="1" applyBorder="1" applyAlignment="1">
      <alignment horizontal="center" vertical="center"/>
    </xf>
    <xf numFmtId="0" fontId="12" fillId="4" borderId="85" xfId="1" applyFont="1" applyFill="1" applyBorder="1" applyAlignment="1">
      <alignment horizontal="center" vertical="center"/>
    </xf>
    <xf numFmtId="0" fontId="12" fillId="4" borderId="101" xfId="1" applyFont="1" applyFill="1" applyBorder="1" applyAlignment="1">
      <alignment horizontal="center" vertical="center"/>
    </xf>
    <xf numFmtId="0" fontId="7" fillId="0" borderId="83" xfId="1" applyFont="1" applyFill="1" applyBorder="1" applyAlignment="1">
      <alignment horizontal="left" vertical="center" wrapText="1"/>
    </xf>
    <xf numFmtId="0" fontId="7" fillId="0" borderId="156" xfId="1" applyFont="1" applyFill="1" applyBorder="1" applyAlignment="1">
      <alignment horizontal="left" vertical="center" wrapText="1"/>
    </xf>
    <xf numFmtId="0" fontId="7" fillId="0" borderId="78" xfId="1" applyFont="1" applyFill="1" applyBorder="1" applyAlignment="1">
      <alignment horizontal="left" vertical="center" wrapText="1"/>
    </xf>
    <xf numFmtId="0" fontId="7" fillId="0" borderId="81" xfId="1" applyFont="1" applyFill="1" applyBorder="1" applyAlignment="1">
      <alignment horizontal="center" vertical="center"/>
    </xf>
    <xf numFmtId="0" fontId="7" fillId="0" borderId="77" xfId="1" applyFont="1" applyFill="1" applyBorder="1" applyAlignment="1">
      <alignment horizontal="center" vertical="center"/>
    </xf>
    <xf numFmtId="0" fontId="7" fillId="0" borderId="58" xfId="1" applyFont="1" applyFill="1" applyBorder="1" applyAlignment="1">
      <alignment horizontal="center" vertical="center"/>
    </xf>
    <xf numFmtId="0" fontId="7" fillId="0" borderId="101" xfId="1" applyFont="1" applyFill="1" applyBorder="1" applyAlignment="1">
      <alignment horizontal="center" vertical="center"/>
    </xf>
    <xf numFmtId="0" fontId="47" fillId="0" borderId="0" xfId="1" applyFont="1" applyBorder="1" applyAlignment="1">
      <alignment horizontal="center" vertical="center"/>
    </xf>
    <xf numFmtId="3" fontId="47" fillId="0" borderId="0" xfId="1" applyNumberFormat="1" applyFont="1" applyBorder="1" applyAlignment="1">
      <alignment horizontal="left" vertical="center" wrapText="1"/>
    </xf>
    <xf numFmtId="49" fontId="49" fillId="4" borderId="0" xfId="1" applyNumberFormat="1" applyFont="1" applyFill="1" applyBorder="1" applyAlignment="1">
      <alignment horizontal="center" vertical="center"/>
    </xf>
    <xf numFmtId="0" fontId="49" fillId="4" borderId="0" xfId="1" applyFont="1" applyFill="1" applyBorder="1" applyAlignment="1">
      <alignment horizontal="center" vertical="center"/>
    </xf>
    <xf numFmtId="0" fontId="49" fillId="4" borderId="0" xfId="1" applyFont="1" applyFill="1" applyBorder="1" applyAlignment="1">
      <alignment horizontal="center" vertical="center" wrapText="1"/>
    </xf>
    <xf numFmtId="0" fontId="95" fillId="0" borderId="0" xfId="1" applyFont="1" applyBorder="1" applyAlignment="1">
      <alignment horizontal="left" vertical="center" wrapText="1"/>
    </xf>
    <xf numFmtId="0" fontId="7" fillId="0" borderId="154" xfId="1" applyFont="1" applyBorder="1" applyAlignment="1">
      <alignment horizontal="center" vertical="center"/>
    </xf>
    <xf numFmtId="0" fontId="7" fillId="0" borderId="53" xfId="1" applyFont="1" applyBorder="1" applyAlignment="1">
      <alignment horizontal="center" vertical="center"/>
    </xf>
    <xf numFmtId="49" fontId="49" fillId="0" borderId="0" xfId="1" applyNumberFormat="1" applyFont="1" applyFill="1" applyBorder="1" applyAlignment="1">
      <alignment horizontal="center" vertical="center"/>
    </xf>
    <xf numFmtId="49" fontId="12" fillId="0" borderId="77" xfId="1" applyNumberFormat="1" applyFont="1" applyBorder="1" applyAlignment="1">
      <alignment horizontal="center" vertical="top"/>
    </xf>
    <xf numFmtId="49" fontId="12" fillId="0" borderId="79" xfId="1" applyNumberFormat="1" applyFont="1" applyBorder="1" applyAlignment="1">
      <alignment horizontal="center" vertical="top"/>
    </xf>
    <xf numFmtId="49" fontId="12" fillId="0" borderId="81" xfId="1" applyNumberFormat="1" applyFont="1" applyBorder="1" applyAlignment="1">
      <alignment horizontal="center" vertical="top"/>
    </xf>
    <xf numFmtId="49" fontId="8" fillId="0" borderId="101" xfId="1" applyNumberFormat="1" applyFont="1" applyBorder="1" applyAlignment="1">
      <alignment horizontal="center" vertical="top"/>
    </xf>
    <xf numFmtId="49" fontId="7" fillId="0" borderId="53" xfId="1" applyNumberFormat="1" applyFont="1" applyBorder="1" applyAlignment="1">
      <alignment horizontal="center" vertical="top"/>
    </xf>
    <xf numFmtId="49" fontId="7" fillId="0" borderId="58" xfId="1" applyNumberFormat="1" applyFont="1" applyBorder="1" applyAlignment="1">
      <alignment horizontal="center" vertical="top"/>
    </xf>
    <xf numFmtId="0" fontId="8" fillId="0" borderId="53" xfId="1" applyFont="1" applyFill="1" applyBorder="1" applyAlignment="1">
      <alignment horizontal="center" vertical="center"/>
    </xf>
    <xf numFmtId="49" fontId="12" fillId="4" borderId="12" xfId="1" applyNumberFormat="1" applyFont="1" applyFill="1" applyBorder="1" applyAlignment="1">
      <alignment horizontal="center" vertical="center"/>
    </xf>
    <xf numFmtId="49" fontId="12" fillId="4" borderId="16" xfId="1" applyNumberFormat="1" applyFont="1" applyFill="1" applyBorder="1" applyAlignment="1">
      <alignment horizontal="center" vertical="center"/>
    </xf>
    <xf numFmtId="49" fontId="12" fillId="4" borderId="31" xfId="1" applyNumberFormat="1" applyFont="1" applyFill="1" applyBorder="1" applyAlignment="1">
      <alignment horizontal="center" vertical="center"/>
    </xf>
    <xf numFmtId="49" fontId="12" fillId="0" borderId="150" xfId="1" applyNumberFormat="1" applyFont="1" applyBorder="1" applyAlignment="1">
      <alignment horizontal="center" vertical="top"/>
    </xf>
    <xf numFmtId="49" fontId="12" fillId="0" borderId="82" xfId="1" applyNumberFormat="1" applyFont="1" applyBorder="1" applyAlignment="1">
      <alignment horizontal="center" vertical="top"/>
    </xf>
    <xf numFmtId="49" fontId="12" fillId="0" borderId="151" xfId="1" applyNumberFormat="1" applyFont="1" applyBorder="1" applyAlignment="1">
      <alignment horizontal="center" vertical="top"/>
    </xf>
    <xf numFmtId="49" fontId="45" fillId="0" borderId="47" xfId="1" applyNumberFormat="1" applyFont="1" applyBorder="1" applyAlignment="1">
      <alignment horizontal="center" vertical="top"/>
    </xf>
    <xf numFmtId="49" fontId="45" fillId="0" borderId="48" xfId="1" applyNumberFormat="1" applyFont="1" applyBorder="1" applyAlignment="1">
      <alignment horizontal="center" vertical="top"/>
    </xf>
    <xf numFmtId="49" fontId="7" fillId="0" borderId="101" xfId="1" applyNumberFormat="1" applyFont="1" applyBorder="1" applyAlignment="1">
      <alignment horizontal="center" vertical="top"/>
    </xf>
    <xf numFmtId="0" fontId="8" fillId="0" borderId="53" xfId="1" applyFont="1" applyBorder="1" applyAlignment="1">
      <alignment horizontal="center" vertical="center" wrapText="1"/>
    </xf>
    <xf numFmtId="49" fontId="7" fillId="0" borderId="88" xfId="1" applyNumberFormat="1" applyFont="1" applyBorder="1" applyAlignment="1">
      <alignment horizontal="center" vertical="top"/>
    </xf>
    <xf numFmtId="0" fontId="8" fillId="0" borderId="60" xfId="1" applyFont="1" applyFill="1" applyBorder="1" applyAlignment="1">
      <alignment horizontal="center" vertical="center"/>
    </xf>
    <xf numFmtId="0" fontId="8" fillId="0" borderId="61" xfId="1" applyFont="1" applyFill="1" applyBorder="1" applyAlignment="1">
      <alignment horizontal="center" vertical="center"/>
    </xf>
    <xf numFmtId="49" fontId="45" fillId="0" borderId="53" xfId="1" applyNumberFormat="1" applyFont="1" applyBorder="1" applyAlignment="1">
      <alignment horizontal="center" vertical="top"/>
    </xf>
    <xf numFmtId="49" fontId="7" fillId="0" borderId="124" xfId="1" applyNumberFormat="1" applyFont="1" applyBorder="1" applyAlignment="1">
      <alignment horizontal="center" vertical="top"/>
    </xf>
    <xf numFmtId="0" fontId="8" fillId="0" borderId="53" xfId="1" applyFont="1" applyBorder="1" applyAlignment="1">
      <alignment horizontal="center" vertical="center"/>
    </xf>
    <xf numFmtId="49" fontId="12" fillId="0" borderId="84" xfId="1" applyNumberFormat="1" applyFont="1" applyBorder="1" applyAlignment="1">
      <alignment horizontal="center" vertical="top"/>
    </xf>
    <xf numFmtId="49" fontId="12" fillId="0" borderId="154" xfId="1" applyNumberFormat="1" applyFont="1" applyBorder="1" applyAlignment="1">
      <alignment horizontal="center" vertical="top"/>
    </xf>
    <xf numFmtId="49" fontId="12" fillId="0" borderId="155" xfId="1" applyNumberFormat="1" applyFont="1" applyBorder="1" applyAlignment="1">
      <alignment horizontal="center" vertical="top"/>
    </xf>
    <xf numFmtId="49" fontId="46" fillId="0" borderId="38" xfId="1" applyNumberFormat="1" applyFont="1" applyBorder="1" applyAlignment="1">
      <alignment horizontal="center" vertical="top"/>
    </xf>
    <xf numFmtId="49" fontId="7" fillId="0" borderId="152" xfId="1" applyNumberFormat="1" applyFont="1" applyBorder="1" applyAlignment="1">
      <alignment horizontal="center" vertical="top"/>
    </xf>
    <xf numFmtId="49" fontId="7" fillId="0" borderId="2" xfId="1" applyNumberFormat="1" applyFont="1" applyBorder="1" applyAlignment="1">
      <alignment horizontal="center" vertical="top"/>
    </xf>
    <xf numFmtId="49" fontId="46" fillId="0" borderId="53" xfId="1" applyNumberFormat="1" applyFont="1" applyBorder="1" applyAlignment="1">
      <alignment horizontal="center" vertical="top"/>
    </xf>
    <xf numFmtId="49" fontId="7" fillId="0" borderId="62" xfId="1" applyNumberFormat="1" applyFont="1" applyBorder="1" applyAlignment="1">
      <alignment horizontal="center" vertical="top"/>
    </xf>
    <xf numFmtId="0" fontId="1" fillId="0" borderId="0" xfId="14" applyAlignment="1">
      <alignment horizontal="right"/>
    </xf>
    <xf numFmtId="0" fontId="12" fillId="0" borderId="1" xfId="1" applyFont="1" applyBorder="1" applyAlignment="1">
      <alignment horizontal="center" vertical="center" wrapText="1"/>
    </xf>
    <xf numFmtId="0" fontId="12" fillId="0" borderId="62" xfId="1" applyFont="1" applyBorder="1" applyAlignment="1">
      <alignment horizontal="center" vertical="center" wrapText="1"/>
    </xf>
    <xf numFmtId="0" fontId="12" fillId="0" borderId="64" xfId="1" applyFont="1" applyBorder="1" applyAlignment="1">
      <alignment horizontal="center" vertical="center" wrapText="1"/>
    </xf>
    <xf numFmtId="0" fontId="8" fillId="0" borderId="44" xfId="1" applyFont="1" applyBorder="1" applyAlignment="1">
      <alignment horizontal="right" vertical="center" wrapText="1"/>
    </xf>
    <xf numFmtId="49" fontId="46" fillId="0" borderId="2" xfId="1" applyNumberFormat="1" applyFont="1" applyBorder="1" applyAlignment="1">
      <alignment horizontal="center" vertical="top"/>
    </xf>
    <xf numFmtId="3" fontId="50" fillId="0" borderId="0" xfId="1" applyNumberFormat="1" applyFont="1" applyAlignment="1">
      <alignment horizontal="center" vertical="center" wrapText="1"/>
    </xf>
    <xf numFmtId="0" fontId="50" fillId="0" borderId="0" xfId="1" applyFont="1" applyAlignment="1">
      <alignment horizontal="center" vertical="center" wrapText="1"/>
    </xf>
    <xf numFmtId="49" fontId="9" fillId="0" borderId="150" xfId="1" applyNumberFormat="1" applyFont="1" applyBorder="1" applyAlignment="1">
      <alignment horizontal="center" vertical="top"/>
    </xf>
    <xf numFmtId="49" fontId="9" fillId="0" borderId="82" xfId="1" applyNumberFormat="1" applyFont="1" applyBorder="1" applyAlignment="1">
      <alignment horizontal="center" vertical="top"/>
    </xf>
    <xf numFmtId="49" fontId="9" fillId="0" borderId="151" xfId="1" applyNumberFormat="1" applyFont="1" applyBorder="1" applyAlignment="1">
      <alignment horizontal="center" vertical="top"/>
    </xf>
    <xf numFmtId="49" fontId="12" fillId="17" borderId="38" xfId="1" applyNumberFormat="1" applyFont="1" applyFill="1" applyBorder="1" applyAlignment="1">
      <alignment horizontal="center" vertical="center"/>
    </xf>
    <xf numFmtId="49" fontId="12" fillId="0" borderId="58" xfId="1" applyNumberFormat="1" applyFont="1" applyFill="1" applyBorder="1" applyAlignment="1">
      <alignment horizontal="center" vertical="center"/>
    </xf>
    <xf numFmtId="49" fontId="12" fillId="0" borderId="124" xfId="1" applyNumberFormat="1" applyFont="1" applyFill="1" applyBorder="1" applyAlignment="1">
      <alignment horizontal="center" vertical="center"/>
    </xf>
    <xf numFmtId="49" fontId="12" fillId="0" borderId="101" xfId="1" applyNumberFormat="1" applyFont="1" applyFill="1" applyBorder="1" applyAlignment="1">
      <alignment horizontal="center" vertical="center"/>
    </xf>
    <xf numFmtId="0" fontId="12" fillId="0" borderId="58" xfId="1" applyFont="1" applyFill="1" applyBorder="1" applyAlignment="1">
      <alignment horizontal="center" vertical="center" wrapText="1"/>
    </xf>
    <xf numFmtId="0" fontId="12" fillId="0" borderId="124" xfId="1" applyFont="1" applyFill="1" applyBorder="1" applyAlignment="1">
      <alignment horizontal="center" vertical="center" wrapText="1"/>
    </xf>
    <xf numFmtId="0" fontId="12" fillId="0" borderId="101" xfId="1" applyFont="1" applyFill="1" applyBorder="1" applyAlignment="1">
      <alignment horizontal="center" vertical="center" wrapText="1"/>
    </xf>
    <xf numFmtId="49" fontId="12" fillId="0" borderId="88" xfId="1" applyNumberFormat="1" applyFont="1" applyFill="1" applyBorder="1" applyAlignment="1">
      <alignment horizontal="center" vertical="center"/>
    </xf>
    <xf numFmtId="0" fontId="12" fillId="0" borderId="88" xfId="1" applyFont="1" applyFill="1" applyBorder="1" applyAlignment="1">
      <alignment horizontal="center" vertical="center" wrapText="1"/>
    </xf>
    <xf numFmtId="0" fontId="12" fillId="17" borderId="101" xfId="1" applyFont="1" applyFill="1" applyBorder="1" applyAlignment="1">
      <alignment horizontal="center" vertical="center" wrapText="1"/>
    </xf>
    <xf numFmtId="49" fontId="12" fillId="0" borderId="62" xfId="1" applyNumberFormat="1" applyFont="1" applyFill="1" applyBorder="1" applyAlignment="1">
      <alignment horizontal="center" vertical="center"/>
    </xf>
    <xf numFmtId="0" fontId="12" fillId="0" borderId="58" xfId="1" applyFont="1" applyFill="1" applyBorder="1" applyAlignment="1">
      <alignment horizontal="center" vertical="center"/>
    </xf>
    <xf numFmtId="0" fontId="12" fillId="0" borderId="62" xfId="1" applyFont="1" applyFill="1" applyBorder="1" applyAlignment="1">
      <alignment horizontal="center" vertical="center"/>
    </xf>
    <xf numFmtId="49" fontId="12" fillId="4" borderId="46" xfId="1" applyNumberFormat="1" applyFont="1" applyFill="1" applyBorder="1" applyAlignment="1">
      <alignment horizontal="center" vertical="center"/>
    </xf>
    <xf numFmtId="49" fontId="12" fillId="4" borderId="32" xfId="1" applyNumberFormat="1" applyFont="1" applyFill="1" applyBorder="1" applyAlignment="1">
      <alignment horizontal="center" vertical="center"/>
    </xf>
    <xf numFmtId="49" fontId="9" fillId="0" borderId="81" xfId="1" applyNumberFormat="1" applyFont="1" applyBorder="1" applyAlignment="1">
      <alignment horizontal="center" vertical="top"/>
    </xf>
    <xf numFmtId="49" fontId="12" fillId="17" borderId="53" xfId="1" applyNumberFormat="1" applyFont="1" applyFill="1" applyBorder="1" applyAlignment="1">
      <alignment horizontal="center" vertical="center"/>
    </xf>
    <xf numFmtId="0" fontId="12" fillId="17" borderId="38" xfId="1" applyFont="1" applyFill="1" applyBorder="1" applyAlignment="1">
      <alignment horizontal="center" vertical="center"/>
    </xf>
    <xf numFmtId="49" fontId="12" fillId="0" borderId="2" xfId="1" applyNumberFormat="1" applyFont="1" applyFill="1" applyBorder="1" applyAlignment="1">
      <alignment horizontal="center" vertical="center"/>
    </xf>
    <xf numFmtId="0" fontId="12" fillId="0" borderId="6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17" borderId="53" xfId="1" applyFont="1" applyFill="1" applyBorder="1" applyAlignment="1">
      <alignment horizontal="center" vertical="center"/>
    </xf>
    <xf numFmtId="0" fontId="12" fillId="17" borderId="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center" vertical="center" wrapText="1"/>
    </xf>
    <xf numFmtId="0" fontId="12" fillId="4" borderId="79" xfId="1" applyFont="1" applyFill="1" applyBorder="1" applyAlignment="1">
      <alignment horizontal="center" vertical="center"/>
    </xf>
    <xf numFmtId="0" fontId="12" fillId="4" borderId="75" xfId="1" applyFont="1" applyFill="1" applyBorder="1" applyAlignment="1">
      <alignment horizontal="center" vertical="center"/>
    </xf>
    <xf numFmtId="0" fontId="12" fillId="4" borderId="87" xfId="1" applyFont="1" applyFill="1" applyBorder="1" applyAlignment="1">
      <alignment horizontal="center" vertical="center"/>
    </xf>
    <xf numFmtId="0" fontId="12" fillId="4" borderId="62" xfId="1" applyFont="1" applyFill="1" applyBorder="1" applyAlignment="1">
      <alignment horizontal="center" vertical="center"/>
    </xf>
    <xf numFmtId="0" fontId="12" fillId="4" borderId="88" xfId="1" applyFont="1" applyFill="1" applyBorder="1" applyAlignment="1">
      <alignment horizontal="center" vertical="center"/>
    </xf>
    <xf numFmtId="0" fontId="12" fillId="4" borderId="87" xfId="1" applyFont="1" applyFill="1" applyBorder="1" applyAlignment="1">
      <alignment horizontal="center" vertical="center" wrapText="1"/>
    </xf>
    <xf numFmtId="0" fontId="12" fillId="4" borderId="47" xfId="1" applyFont="1" applyFill="1" applyBorder="1" applyAlignment="1">
      <alignment horizontal="center" vertical="center" wrapText="1"/>
    </xf>
    <xf numFmtId="0" fontId="12" fillId="4" borderId="70" xfId="1" applyFont="1" applyFill="1" applyBorder="1" applyAlignment="1">
      <alignment horizontal="center" vertical="center" wrapText="1"/>
    </xf>
    <xf numFmtId="0" fontId="12" fillId="4" borderId="48" xfId="1" applyFont="1" applyFill="1" applyBorder="1" applyAlignment="1">
      <alignment horizontal="center" vertical="center" wrapText="1"/>
    </xf>
    <xf numFmtId="0" fontId="12" fillId="4" borderId="89" xfId="1" applyFont="1" applyFill="1" applyBorder="1" applyAlignment="1">
      <alignment horizontal="center" vertical="center" wrapText="1"/>
    </xf>
    <xf numFmtId="0" fontId="12" fillId="4" borderId="58" xfId="1" applyFont="1" applyFill="1" applyBorder="1" applyAlignment="1">
      <alignment horizontal="center" vertical="center" wrapText="1"/>
    </xf>
    <xf numFmtId="0" fontId="12" fillId="4" borderId="88" xfId="1" applyFont="1" applyFill="1" applyBorder="1" applyAlignment="1">
      <alignment horizontal="center" vertical="center" wrapText="1"/>
    </xf>
    <xf numFmtId="0" fontId="54" fillId="2" borderId="12" xfId="0" applyFont="1" applyFill="1" applyBorder="1" applyAlignment="1">
      <alignment horizontal="center" vertical="center"/>
    </xf>
    <xf numFmtId="0" fontId="54" fillId="2" borderId="16" xfId="0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53" fillId="2" borderId="11" xfId="0" applyFont="1" applyFill="1" applyBorder="1" applyAlignment="1">
      <alignment horizontal="center" vertical="center"/>
    </xf>
    <xf numFmtId="0" fontId="53" fillId="2" borderId="10" xfId="0" applyFont="1" applyFill="1" applyBorder="1" applyAlignment="1">
      <alignment horizontal="center" vertical="center"/>
    </xf>
    <xf numFmtId="0" fontId="53" fillId="2" borderId="74" xfId="0" applyFont="1" applyFill="1" applyBorder="1" applyAlignment="1">
      <alignment horizontal="center" vertical="center"/>
    </xf>
    <xf numFmtId="0" fontId="53" fillId="2" borderId="44" xfId="0" applyFont="1" applyFill="1" applyBorder="1" applyAlignment="1">
      <alignment horizontal="center" vertical="center"/>
    </xf>
    <xf numFmtId="0" fontId="53" fillId="2" borderId="11" xfId="0" applyFont="1" applyFill="1" applyBorder="1" applyAlignment="1">
      <alignment horizontal="center" vertical="center" wrapText="1"/>
    </xf>
    <xf numFmtId="0" fontId="53" fillId="2" borderId="10" xfId="0" applyFont="1" applyFill="1" applyBorder="1" applyAlignment="1">
      <alignment horizontal="center" vertical="center" wrapText="1"/>
    </xf>
    <xf numFmtId="0" fontId="53" fillId="2" borderId="24" xfId="0" applyFont="1" applyFill="1" applyBorder="1" applyAlignment="1">
      <alignment horizontal="center" vertical="center"/>
    </xf>
    <xf numFmtId="0" fontId="53" fillId="2" borderId="17" xfId="0" applyFont="1" applyFill="1" applyBorder="1" applyAlignment="1">
      <alignment horizontal="center" vertical="center"/>
    </xf>
    <xf numFmtId="0" fontId="53" fillId="0" borderId="73" xfId="0" applyFont="1" applyBorder="1" applyAlignment="1">
      <alignment horizontal="center" vertical="center"/>
    </xf>
    <xf numFmtId="0" fontId="53" fillId="0" borderId="22" xfId="0" applyFont="1" applyBorder="1" applyAlignment="1">
      <alignment horizontal="center" vertical="center"/>
    </xf>
    <xf numFmtId="0" fontId="21" fillId="0" borderId="7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6" fillId="0" borderId="0" xfId="1" applyFont="1" applyAlignment="1">
      <alignment horizontal="center" vertical="center" wrapText="1"/>
    </xf>
    <xf numFmtId="49" fontId="12" fillId="0" borderId="24" xfId="1" applyNumberFormat="1" applyFont="1" applyBorder="1" applyAlignment="1">
      <alignment horizontal="center" vertical="center" wrapText="1"/>
    </xf>
    <xf numFmtId="49" fontId="12" fillId="0" borderId="21" xfId="1" applyNumberFormat="1" applyFont="1" applyBorder="1" applyAlignment="1">
      <alignment horizontal="center" vertical="center" wrapText="1"/>
    </xf>
    <xf numFmtId="49" fontId="12" fillId="0" borderId="17" xfId="1" applyNumberFormat="1" applyFont="1" applyBorder="1" applyAlignment="1">
      <alignment horizontal="center" vertical="center" wrapText="1"/>
    </xf>
    <xf numFmtId="0" fontId="9" fillId="4" borderId="46" xfId="1" applyFont="1" applyFill="1" applyBorder="1" applyAlignment="1">
      <alignment horizontal="center" vertical="center"/>
    </xf>
    <xf numFmtId="0" fontId="9" fillId="4" borderId="32" xfId="1" applyFont="1" applyFill="1" applyBorder="1" applyAlignment="1">
      <alignment horizontal="center" vertical="center"/>
    </xf>
    <xf numFmtId="0" fontId="9" fillId="4" borderId="34" xfId="1" applyFont="1" applyFill="1" applyBorder="1" applyAlignment="1">
      <alignment horizontal="center" vertical="center"/>
    </xf>
    <xf numFmtId="49" fontId="7" fillId="0" borderId="24" xfId="1" applyNumberFormat="1" applyFont="1" applyBorder="1" applyAlignment="1">
      <alignment horizontal="center" vertical="center" wrapText="1"/>
    </xf>
    <xf numFmtId="49" fontId="7" fillId="0" borderId="21" xfId="1" applyNumberFormat="1" applyFont="1" applyBorder="1" applyAlignment="1">
      <alignment horizontal="center" vertical="center" wrapText="1"/>
    </xf>
    <xf numFmtId="49" fontId="7" fillId="0" borderId="17" xfId="1" applyNumberFormat="1" applyFont="1" applyBorder="1" applyAlignment="1">
      <alignment horizontal="center" vertical="center" wrapText="1"/>
    </xf>
    <xf numFmtId="0" fontId="8" fillId="11" borderId="6" xfId="1" applyFont="1" applyFill="1" applyBorder="1" applyAlignment="1">
      <alignment horizontal="center" vertical="center"/>
    </xf>
    <xf numFmtId="0" fontId="8" fillId="11" borderId="30" xfId="1" applyFont="1" applyFill="1" applyBorder="1" applyAlignment="1">
      <alignment horizontal="center" vertical="center"/>
    </xf>
    <xf numFmtId="49" fontId="12" fillId="3" borderId="46" xfId="1" applyNumberFormat="1" applyFont="1" applyFill="1" applyBorder="1" applyAlignment="1">
      <alignment horizontal="center" vertical="center"/>
    </xf>
    <xf numFmtId="49" fontId="12" fillId="3" borderId="88" xfId="1" applyNumberFormat="1" applyFont="1" applyFill="1" applyBorder="1" applyAlignment="1">
      <alignment horizontal="center" vertical="center"/>
    </xf>
    <xf numFmtId="49" fontId="12" fillId="3" borderId="32" xfId="1" applyNumberFormat="1" applyFont="1" applyFill="1" applyBorder="1" applyAlignment="1">
      <alignment horizontal="center" vertical="center"/>
    </xf>
    <xf numFmtId="49" fontId="12" fillId="3" borderId="45" xfId="1" applyNumberFormat="1" applyFont="1" applyFill="1" applyBorder="1" applyAlignment="1">
      <alignment horizontal="center" vertical="center"/>
    </xf>
    <xf numFmtId="0" fontId="14" fillId="0" borderId="0" xfId="1" applyFont="1" applyBorder="1" applyAlignment="1">
      <alignment horizontal="center" vertical="center" wrapText="1"/>
    </xf>
    <xf numFmtId="0" fontId="12" fillId="3" borderId="71" xfId="1" applyFont="1" applyFill="1" applyBorder="1" applyAlignment="1">
      <alignment horizontal="center" vertical="center"/>
    </xf>
    <xf numFmtId="0" fontId="12" fillId="3" borderId="72" xfId="1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horizontal="center" vertical="center"/>
    </xf>
    <xf numFmtId="0" fontId="12" fillId="3" borderId="73" xfId="1" applyFont="1" applyFill="1" applyBorder="1" applyAlignment="1">
      <alignment horizontal="center" vertical="center"/>
    </xf>
    <xf numFmtId="0" fontId="12" fillId="3" borderId="70" xfId="1" applyFont="1" applyFill="1" applyBorder="1" applyAlignment="1">
      <alignment horizontal="center" vertical="center"/>
    </xf>
    <xf numFmtId="0" fontId="12" fillId="3" borderId="67" xfId="1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horizontal="center" vertical="center" wrapText="1"/>
    </xf>
    <xf numFmtId="0" fontId="9" fillId="3" borderId="48" xfId="1" applyFont="1" applyFill="1" applyBorder="1" applyAlignment="1">
      <alignment horizontal="center" vertical="center" wrapText="1"/>
    </xf>
    <xf numFmtId="0" fontId="9" fillId="3" borderId="86" xfId="1" applyFont="1" applyFill="1" applyBorder="1" applyAlignment="1">
      <alignment horizontal="center" vertical="center" wrapText="1"/>
    </xf>
    <xf numFmtId="0" fontId="12" fillId="4" borderId="12" xfId="2" applyFont="1" applyFill="1" applyBorder="1" applyAlignment="1">
      <alignment horizontal="left"/>
    </xf>
    <xf numFmtId="0" fontId="12" fillId="4" borderId="16" xfId="2" applyFont="1" applyFill="1" applyBorder="1" applyAlignment="1">
      <alignment horizontal="left"/>
    </xf>
    <xf numFmtId="0" fontId="11" fillId="2" borderId="12" xfId="2" applyFont="1" applyFill="1" applyBorder="1" applyAlignment="1">
      <alignment horizontal="center" vertical="center"/>
    </xf>
    <xf numFmtId="0" fontId="11" fillId="2" borderId="16" xfId="2" applyFont="1" applyFill="1" applyBorder="1" applyAlignment="1">
      <alignment horizontal="center" vertical="center"/>
    </xf>
    <xf numFmtId="0" fontId="13" fillId="0" borderId="0" xfId="2" applyFont="1" applyAlignment="1">
      <alignment horizontal="right" vertical="center" wrapText="1"/>
    </xf>
    <xf numFmtId="0" fontId="17" fillId="0" borderId="44" xfId="2" applyFont="1" applyBorder="1" applyAlignment="1">
      <alignment horizontal="center" vertical="center" wrapText="1"/>
    </xf>
  </cellXfs>
  <cellStyles count="16">
    <cellStyle name="Normalny" xfId="0" builtinId="0"/>
    <cellStyle name="Normalny 2" xfId="1"/>
    <cellStyle name="Normalny 2 2" xfId="2"/>
    <cellStyle name="Normalny 2 2 2" xfId="13"/>
    <cellStyle name="Normalny 3" xfId="3"/>
    <cellStyle name="Normalny 3 2" xfId="4"/>
    <cellStyle name="Normalny 3 2 2" xfId="5"/>
    <cellStyle name="Normalny 4" xfId="6"/>
    <cellStyle name="Normalny 5" xfId="9"/>
    <cellStyle name="Normalny 5 2" xfId="12"/>
    <cellStyle name="Normalny 5 2 2" xfId="14"/>
    <cellStyle name="Normalny 6" xfId="10"/>
    <cellStyle name="Normalny 7" xfId="15"/>
    <cellStyle name="Normalny_Arkusz1" xfId="11"/>
    <cellStyle name="Procentowy 2" xfId="7"/>
    <cellStyle name="Walutowy 2" xfId="8"/>
  </cellStyles>
  <dxfs count="0"/>
  <tableStyles count="0" defaultTableStyle="TableStyleMedium9" defaultPivotStyle="PivotStyleLight16"/>
  <colors>
    <mruColors>
      <color rgb="FF99CCFF"/>
      <color rgb="FFFFFF66"/>
      <color rgb="FFCCCC00"/>
      <color rgb="FFFFCC00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.jachymczyk\AppData\Local\Microsoft\Windows\Temporary%20Internet%20Files\Content.Outlook\GUFGZAYO\Za&#322;&#261;cznik%20maj&#261;tkow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westycje własne"/>
      <sheetName val="Załącznik Nr 2"/>
      <sheetName val="Załącznik Nr 3"/>
    </sheetNames>
    <sheetDataSet>
      <sheetData sheetId="0" refreshError="1"/>
      <sheetData sheetId="1">
        <row r="28">
          <cell r="G28">
            <v>4886254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9"/>
  <sheetViews>
    <sheetView tabSelected="1" view="pageBreakPreview" zoomScaleNormal="100" zoomScaleSheetLayoutView="100" workbookViewId="0">
      <selection activeCell="G5" sqref="G5"/>
    </sheetView>
  </sheetViews>
  <sheetFormatPr defaultRowHeight="15"/>
  <cols>
    <col min="1" max="1" width="6.42578125" style="358" customWidth="1"/>
    <col min="2" max="2" width="8.85546875" style="358" customWidth="1"/>
    <col min="3" max="3" width="59.7109375" style="359" customWidth="1"/>
    <col min="4" max="4" width="12.7109375" style="359" customWidth="1"/>
    <col min="5" max="5" width="17.7109375" style="529" customWidth="1"/>
    <col min="6" max="6" width="9.140625" style="360"/>
    <col min="7" max="7" width="10.7109375" style="360" bestFit="1" customWidth="1"/>
    <col min="8" max="16384" width="9.140625" style="360"/>
  </cols>
  <sheetData>
    <row r="1" spans="1:5" ht="20.25" customHeight="1">
      <c r="D1" s="1236" t="s">
        <v>1081</v>
      </c>
      <c r="E1" s="1237"/>
    </row>
    <row r="2" spans="1:5" ht="19.5" customHeight="1">
      <c r="D2" s="1237"/>
      <c r="E2" s="1237"/>
    </row>
    <row r="3" spans="1:5" ht="20.25" customHeight="1">
      <c r="D3" s="1237"/>
      <c r="E3" s="1237"/>
    </row>
    <row r="4" spans="1:5" ht="29.25" customHeight="1">
      <c r="A4" s="1238" t="s">
        <v>783</v>
      </c>
      <c r="B4" s="1238"/>
      <c r="C4" s="1238"/>
      <c r="D4" s="1238"/>
      <c r="E4" s="695"/>
    </row>
    <row r="5" spans="1:5" ht="27" customHeight="1">
      <c r="A5" s="1238"/>
      <c r="B5" s="1238"/>
      <c r="C5" s="1238"/>
      <c r="D5" s="1238"/>
      <c r="E5" s="695"/>
    </row>
    <row r="6" spans="1:5" ht="12" customHeight="1" thickBot="1">
      <c r="A6" s="361"/>
      <c r="B6" s="362"/>
      <c r="C6" s="363"/>
      <c r="D6" s="363"/>
      <c r="E6" s="364"/>
    </row>
    <row r="7" spans="1:5" ht="25.5" customHeight="1" thickBot="1">
      <c r="A7" s="1239" t="s">
        <v>0</v>
      </c>
      <c r="B7" s="1240" t="s">
        <v>784</v>
      </c>
      <c r="C7" s="1239" t="s">
        <v>785</v>
      </c>
      <c r="D7" s="1241" t="s">
        <v>5</v>
      </c>
      <c r="E7" s="1242" t="s">
        <v>136</v>
      </c>
    </row>
    <row r="8" spans="1:5" ht="12.75" customHeight="1" thickBot="1">
      <c r="A8" s="1239"/>
      <c r="B8" s="1240"/>
      <c r="C8" s="1239"/>
      <c r="D8" s="1241"/>
      <c r="E8" s="1243"/>
    </row>
    <row r="9" spans="1:5" ht="15.75" thickBot="1">
      <c r="A9" s="365" t="s">
        <v>137</v>
      </c>
      <c r="B9" s="366" t="s">
        <v>138</v>
      </c>
      <c r="C9" s="365" t="s">
        <v>139</v>
      </c>
      <c r="D9" s="367" t="s">
        <v>140</v>
      </c>
      <c r="E9" s="368" t="s">
        <v>141</v>
      </c>
    </row>
    <row r="10" spans="1:5" ht="15.75" thickBot="1">
      <c r="A10" s="369" t="s">
        <v>142</v>
      </c>
      <c r="B10" s="370"/>
      <c r="C10" s="371" t="s">
        <v>743</v>
      </c>
      <c r="D10" s="371"/>
      <c r="E10" s="372">
        <f>E11+E16+E22+E30+E35+E39+E44</f>
        <v>50807705</v>
      </c>
    </row>
    <row r="11" spans="1:5" ht="15.75" thickBot="1">
      <c r="A11" s="1209"/>
      <c r="B11" s="373" t="s">
        <v>144</v>
      </c>
      <c r="C11" s="374" t="s">
        <v>786</v>
      </c>
      <c r="D11" s="375"/>
      <c r="E11" s="376">
        <f>E12</f>
        <v>10047412</v>
      </c>
    </row>
    <row r="12" spans="1:5" ht="15" customHeight="1">
      <c r="A12" s="1209"/>
      <c r="B12" s="1223" t="s">
        <v>787</v>
      </c>
      <c r="C12" s="1223"/>
      <c r="D12" s="377"/>
      <c r="E12" s="378">
        <f>E14+E13</f>
        <v>10047412</v>
      </c>
    </row>
    <row r="13" spans="1:5" ht="38.25" customHeight="1">
      <c r="A13" s="1209"/>
      <c r="B13" s="1251"/>
      <c r="C13" s="1252" t="s">
        <v>1062</v>
      </c>
      <c r="D13" s="379" t="s">
        <v>788</v>
      </c>
      <c r="E13" s="997">
        <v>10045412</v>
      </c>
    </row>
    <row r="14" spans="1:5" ht="40.5" customHeight="1">
      <c r="A14" s="1209"/>
      <c r="B14" s="1251"/>
      <c r="C14" s="1252"/>
      <c r="D14" s="380" t="s">
        <v>789</v>
      </c>
      <c r="E14" s="997">
        <v>2000</v>
      </c>
    </row>
    <row r="15" spans="1:5" ht="15" customHeight="1" thickBot="1">
      <c r="A15" s="1209"/>
      <c r="B15" s="1190" t="s">
        <v>790</v>
      </c>
      <c r="C15" s="1190"/>
      <c r="D15" s="998"/>
      <c r="E15" s="381">
        <v>0</v>
      </c>
    </row>
    <row r="16" spans="1:5" ht="15.75" thickBot="1">
      <c r="A16" s="1209"/>
      <c r="B16" s="382" t="s">
        <v>193</v>
      </c>
      <c r="C16" s="383" t="s">
        <v>194</v>
      </c>
      <c r="D16" s="384"/>
      <c r="E16" s="385">
        <f>E17+E21</f>
        <v>113300</v>
      </c>
    </row>
    <row r="17" spans="1:5">
      <c r="A17" s="1209"/>
      <c r="B17" s="1253" t="s">
        <v>787</v>
      </c>
      <c r="C17" s="1224"/>
      <c r="D17" s="386"/>
      <c r="E17" s="387">
        <f>SUM(E18:E20)</f>
        <v>113300</v>
      </c>
    </row>
    <row r="18" spans="1:5" ht="27" customHeight="1">
      <c r="A18" s="1209"/>
      <c r="B18" s="1254"/>
      <c r="C18" s="1256" t="s">
        <v>1063</v>
      </c>
      <c r="D18" s="388" t="s">
        <v>791</v>
      </c>
      <c r="E18" s="997">
        <v>79900</v>
      </c>
    </row>
    <row r="19" spans="1:5" ht="27.75" customHeight="1">
      <c r="A19" s="1209"/>
      <c r="B19" s="1254"/>
      <c r="C19" s="1256"/>
      <c r="D19" s="388" t="s">
        <v>788</v>
      </c>
      <c r="E19" s="997">
        <v>30900</v>
      </c>
    </row>
    <row r="20" spans="1:5" ht="27" customHeight="1">
      <c r="A20" s="1209"/>
      <c r="B20" s="1255"/>
      <c r="C20" s="1257"/>
      <c r="D20" s="388" t="s">
        <v>789</v>
      </c>
      <c r="E20" s="997">
        <v>2500</v>
      </c>
    </row>
    <row r="21" spans="1:5" ht="15.75" thickBot="1">
      <c r="A21" s="1209"/>
      <c r="B21" s="1221" t="s">
        <v>790</v>
      </c>
      <c r="C21" s="1187"/>
      <c r="D21" s="999"/>
      <c r="E21" s="381">
        <v>0</v>
      </c>
    </row>
    <row r="22" spans="1:5" ht="15.75" thickBot="1">
      <c r="A22" s="1209"/>
      <c r="B22" s="382" t="s">
        <v>197</v>
      </c>
      <c r="C22" s="389" t="s">
        <v>198</v>
      </c>
      <c r="D22" s="389"/>
      <c r="E22" s="376">
        <f>E23+E26</f>
        <v>8057842</v>
      </c>
    </row>
    <row r="23" spans="1:5">
      <c r="A23" s="1209"/>
      <c r="B23" s="1223" t="s">
        <v>787</v>
      </c>
      <c r="C23" s="1224"/>
      <c r="D23" s="386"/>
      <c r="E23" s="390">
        <f>SUM(E24:E25)</f>
        <v>5078842</v>
      </c>
    </row>
    <row r="24" spans="1:5" ht="41.25" customHeight="1">
      <c r="A24" s="1209"/>
      <c r="B24" s="1244"/>
      <c r="C24" s="1000" t="s">
        <v>792</v>
      </c>
      <c r="D24" s="1001">
        <v>2210</v>
      </c>
      <c r="E24" s="997">
        <v>5074000</v>
      </c>
    </row>
    <row r="25" spans="1:5" ht="42" customHeight="1">
      <c r="A25" s="1209"/>
      <c r="B25" s="1244"/>
      <c r="C25" s="1000" t="s">
        <v>793</v>
      </c>
      <c r="D25" s="1001">
        <v>2360</v>
      </c>
      <c r="E25" s="997">
        <v>4842</v>
      </c>
    </row>
    <row r="26" spans="1:5">
      <c r="A26" s="1209"/>
      <c r="B26" s="1163" t="s">
        <v>794</v>
      </c>
      <c r="C26" s="1245"/>
      <c r="D26" s="391"/>
      <c r="E26" s="392">
        <f>SUM(E27:E29)</f>
        <v>2979000</v>
      </c>
    </row>
    <row r="27" spans="1:5" ht="44.25" customHeight="1">
      <c r="A27" s="1209"/>
      <c r="B27" s="1246"/>
      <c r="C27" s="1002" t="s">
        <v>795</v>
      </c>
      <c r="D27" s="1247">
        <v>6510</v>
      </c>
      <c r="E27" s="997">
        <v>2446000</v>
      </c>
    </row>
    <row r="28" spans="1:5" ht="69.75" customHeight="1">
      <c r="A28" s="1209"/>
      <c r="B28" s="1246"/>
      <c r="C28" s="1002" t="s">
        <v>805</v>
      </c>
      <c r="D28" s="1161"/>
      <c r="E28" s="997">
        <v>170000</v>
      </c>
    </row>
    <row r="29" spans="1:5" ht="76.5" customHeight="1" thickBot="1">
      <c r="A29" s="1209"/>
      <c r="B29" s="1246"/>
      <c r="C29" s="393" t="s">
        <v>796</v>
      </c>
      <c r="D29" s="1162"/>
      <c r="E29" s="997">
        <v>363000</v>
      </c>
    </row>
    <row r="30" spans="1:5" ht="15.75" thickBot="1">
      <c r="A30" s="1209"/>
      <c r="B30" s="373" t="s">
        <v>212</v>
      </c>
      <c r="C30" s="383" t="s">
        <v>797</v>
      </c>
      <c r="D30" s="389"/>
      <c r="E30" s="385">
        <f>E31+E34</f>
        <v>5080000</v>
      </c>
    </row>
    <row r="31" spans="1:5">
      <c r="A31" s="1209"/>
      <c r="B31" s="1216" t="s">
        <v>787</v>
      </c>
      <c r="C31" s="1248"/>
      <c r="D31" s="391"/>
      <c r="E31" s="390">
        <f>SUM(E32:E33)</f>
        <v>5080000</v>
      </c>
    </row>
    <row r="32" spans="1:5" ht="42.75" customHeight="1">
      <c r="A32" s="1209"/>
      <c r="B32" s="1249"/>
      <c r="C32" s="1003" t="s">
        <v>798</v>
      </c>
      <c r="D32" s="1004">
        <v>2058</v>
      </c>
      <c r="E32" s="997">
        <v>3232000</v>
      </c>
    </row>
    <row r="33" spans="1:5" ht="41.25" customHeight="1">
      <c r="A33" s="1209"/>
      <c r="B33" s="1250"/>
      <c r="C33" s="1003" t="s">
        <v>799</v>
      </c>
      <c r="D33" s="1005">
        <v>2059</v>
      </c>
      <c r="E33" s="997">
        <v>1848000</v>
      </c>
    </row>
    <row r="34" spans="1:5" ht="15.75" thickBot="1">
      <c r="A34" s="1209"/>
      <c r="B34" s="1164" t="s">
        <v>790</v>
      </c>
      <c r="C34" s="1177"/>
      <c r="D34" s="1006"/>
      <c r="E34" s="392">
        <v>0</v>
      </c>
    </row>
    <row r="35" spans="1:5" ht="15.75" thickBot="1">
      <c r="A35" s="1209"/>
      <c r="B35" s="373" t="s">
        <v>239</v>
      </c>
      <c r="C35" s="389" t="s">
        <v>240</v>
      </c>
      <c r="D35" s="389"/>
      <c r="E35" s="385">
        <f>E36+E38</f>
        <v>7000000</v>
      </c>
    </row>
    <row r="36" spans="1:5">
      <c r="A36" s="1209"/>
      <c r="B36" s="1229" t="s">
        <v>787</v>
      </c>
      <c r="C36" s="1229"/>
      <c r="D36" s="394"/>
      <c r="E36" s="378">
        <f>E37</f>
        <v>7000000</v>
      </c>
    </row>
    <row r="37" spans="1:5" ht="19.5" customHeight="1">
      <c r="A37" s="1209"/>
      <c r="B37" s="698"/>
      <c r="C37" s="1007" t="s">
        <v>800</v>
      </c>
      <c r="D37" s="395" t="s">
        <v>801</v>
      </c>
      <c r="E37" s="1008">
        <v>7000000</v>
      </c>
    </row>
    <row r="38" spans="1:5" ht="15.75" thickBot="1">
      <c r="A38" s="1209"/>
      <c r="B38" s="1230" t="s">
        <v>790</v>
      </c>
      <c r="C38" s="1230"/>
      <c r="D38" s="1009"/>
      <c r="E38" s="381">
        <v>0</v>
      </c>
    </row>
    <row r="39" spans="1:5" ht="15.75" thickBot="1">
      <c r="A39" s="1209"/>
      <c r="B39" s="396" t="s">
        <v>251</v>
      </c>
      <c r="C39" s="383" t="s">
        <v>802</v>
      </c>
      <c r="D39" s="389"/>
      <c r="E39" s="385">
        <f>E40+E41</f>
        <v>20494151</v>
      </c>
    </row>
    <row r="40" spans="1:5">
      <c r="A40" s="1209"/>
      <c r="B40" s="1223" t="s">
        <v>803</v>
      </c>
      <c r="C40" s="1225"/>
      <c r="D40" s="386"/>
      <c r="E40" s="387">
        <v>0</v>
      </c>
    </row>
    <row r="41" spans="1:5">
      <c r="A41" s="1209"/>
      <c r="B41" s="1176" t="s">
        <v>794</v>
      </c>
      <c r="C41" s="1188"/>
      <c r="D41" s="391"/>
      <c r="E41" s="1010">
        <f>SUM(E42:E43)</f>
        <v>20494151</v>
      </c>
    </row>
    <row r="42" spans="1:5" ht="44.25" customHeight="1">
      <c r="A42" s="1209"/>
      <c r="B42" s="1231"/>
      <c r="C42" s="1011" t="s">
        <v>804</v>
      </c>
      <c r="D42" s="397">
        <v>6259</v>
      </c>
      <c r="E42" s="997">
        <v>4575000</v>
      </c>
    </row>
    <row r="43" spans="1:5" ht="72.75" customHeight="1" thickBot="1">
      <c r="A43" s="1209"/>
      <c r="B43" s="1232"/>
      <c r="C43" s="398" t="s">
        <v>805</v>
      </c>
      <c r="D43" s="399">
        <v>6510</v>
      </c>
      <c r="E43" s="1012">
        <v>15919151</v>
      </c>
    </row>
    <row r="44" spans="1:5" ht="15.75" thickBot="1">
      <c r="A44" s="1209"/>
      <c r="B44" s="400" t="s">
        <v>254</v>
      </c>
      <c r="C44" s="401" t="s">
        <v>129</v>
      </c>
      <c r="D44" s="401"/>
      <c r="E44" s="385">
        <f>E45</f>
        <v>15000</v>
      </c>
    </row>
    <row r="45" spans="1:5">
      <c r="A45" s="1209"/>
      <c r="B45" s="1223" t="s">
        <v>787</v>
      </c>
      <c r="C45" s="1225"/>
      <c r="D45" s="391"/>
      <c r="E45" s="387">
        <f>E46</f>
        <v>15000</v>
      </c>
    </row>
    <row r="46" spans="1:5" ht="38.25">
      <c r="A46" s="1209"/>
      <c r="B46" s="1013"/>
      <c r="C46" s="1000" t="s">
        <v>792</v>
      </c>
      <c r="D46" s="402">
        <v>2210</v>
      </c>
      <c r="E46" s="997">
        <v>15000</v>
      </c>
    </row>
    <row r="47" spans="1:5" ht="15.75" thickBot="1">
      <c r="A47" s="1209"/>
      <c r="B47" s="1186" t="s">
        <v>790</v>
      </c>
      <c r="C47" s="1187"/>
      <c r="D47" s="999"/>
      <c r="E47" s="381">
        <v>0</v>
      </c>
    </row>
    <row r="48" spans="1:5" s="408" customFormat="1" ht="15.75" customHeight="1" thickBot="1">
      <c r="A48" s="403" t="s">
        <v>263</v>
      </c>
      <c r="B48" s="404"/>
      <c r="C48" s="405" t="s">
        <v>806</v>
      </c>
      <c r="D48" s="406"/>
      <c r="E48" s="407">
        <f>E49</f>
        <v>796000</v>
      </c>
    </row>
    <row r="49" spans="1:5" ht="44.25" customHeight="1" thickBot="1">
      <c r="A49" s="1208"/>
      <c r="B49" s="409" t="s">
        <v>265</v>
      </c>
      <c r="C49" s="374" t="s">
        <v>807</v>
      </c>
      <c r="D49" s="375"/>
      <c r="E49" s="376">
        <f>E50+E53</f>
        <v>796000</v>
      </c>
    </row>
    <row r="50" spans="1:5">
      <c r="A50" s="1209"/>
      <c r="B50" s="1172" t="s">
        <v>787</v>
      </c>
      <c r="C50" s="1196"/>
      <c r="D50" s="386"/>
      <c r="E50" s="390">
        <f>SUM(E51:E52)</f>
        <v>780000</v>
      </c>
    </row>
    <row r="51" spans="1:5" ht="45" customHeight="1">
      <c r="A51" s="1209"/>
      <c r="B51" s="1014"/>
      <c r="C51" s="1000" t="s">
        <v>808</v>
      </c>
      <c r="D51" s="1015">
        <v>2058</v>
      </c>
      <c r="E51" s="997">
        <v>585000</v>
      </c>
    </row>
    <row r="52" spans="1:5" ht="45" customHeight="1">
      <c r="A52" s="1209"/>
      <c r="B52" s="700"/>
      <c r="C52" s="1016" t="s">
        <v>809</v>
      </c>
      <c r="D52" s="1015">
        <v>2059</v>
      </c>
      <c r="E52" s="997">
        <v>195000</v>
      </c>
    </row>
    <row r="53" spans="1:5">
      <c r="A53" s="1209"/>
      <c r="B53" s="1226" t="s">
        <v>794</v>
      </c>
      <c r="C53" s="1177"/>
      <c r="D53" s="410"/>
      <c r="E53" s="1017">
        <f>SUM(E54:E55)</f>
        <v>16000</v>
      </c>
    </row>
    <row r="54" spans="1:5" ht="42.75" customHeight="1">
      <c r="A54" s="696"/>
      <c r="B54" s="1227"/>
      <c r="C54" s="1018" t="s">
        <v>808</v>
      </c>
      <c r="D54" s="1019">
        <v>6258</v>
      </c>
      <c r="E54" s="997">
        <v>12000</v>
      </c>
    </row>
    <row r="55" spans="1:5" ht="43.5" customHeight="1" thickBot="1">
      <c r="A55" s="411"/>
      <c r="B55" s="1228"/>
      <c r="C55" s="1020" t="s">
        <v>809</v>
      </c>
      <c r="D55" s="1021">
        <v>6259</v>
      </c>
      <c r="E55" s="1012">
        <v>4000</v>
      </c>
    </row>
    <row r="56" spans="1:5" s="408" customFormat="1" ht="15.75" customHeight="1" thickBot="1">
      <c r="A56" s="412" t="s">
        <v>744</v>
      </c>
      <c r="B56" s="413"/>
      <c r="C56" s="414" t="s">
        <v>745</v>
      </c>
      <c r="D56" s="414"/>
      <c r="E56" s="415">
        <f>E57</f>
        <v>1368</v>
      </c>
    </row>
    <row r="57" spans="1:5" ht="15" customHeight="1" thickBot="1">
      <c r="A57" s="1208"/>
      <c r="B57" s="409" t="s">
        <v>746</v>
      </c>
      <c r="C57" s="374" t="s">
        <v>129</v>
      </c>
      <c r="D57" s="375"/>
      <c r="E57" s="376">
        <f>E58</f>
        <v>1368</v>
      </c>
    </row>
    <row r="58" spans="1:5">
      <c r="A58" s="1209"/>
      <c r="B58" s="1163" t="s">
        <v>787</v>
      </c>
      <c r="C58" s="1173"/>
      <c r="D58" s="391"/>
      <c r="E58" s="390">
        <f>E59</f>
        <v>1368</v>
      </c>
    </row>
    <row r="59" spans="1:5" ht="39" customHeight="1">
      <c r="A59" s="1209"/>
      <c r="B59" s="1022"/>
      <c r="C59" s="1023" t="s">
        <v>793</v>
      </c>
      <c r="D59" s="402">
        <v>2360</v>
      </c>
      <c r="E59" s="997">
        <v>1368</v>
      </c>
    </row>
    <row r="60" spans="1:5" ht="15.75" thickBot="1">
      <c r="A60" s="1209"/>
      <c r="B60" s="1164" t="s">
        <v>810</v>
      </c>
      <c r="C60" s="1167"/>
      <c r="D60" s="410"/>
      <c r="E60" s="1024">
        <v>0</v>
      </c>
    </row>
    <row r="61" spans="1:5" ht="15.75" thickBot="1">
      <c r="A61" s="416">
        <v>600</v>
      </c>
      <c r="B61" s="417"/>
      <c r="C61" s="418" t="s">
        <v>747</v>
      </c>
      <c r="D61" s="371"/>
      <c r="E61" s="415">
        <f>E62+E69+E73+E77+E86</f>
        <v>110144106</v>
      </c>
    </row>
    <row r="62" spans="1:5" ht="15.75" thickBot="1">
      <c r="A62" s="1160"/>
      <c r="B62" s="419">
        <v>60001</v>
      </c>
      <c r="C62" s="383" t="s">
        <v>301</v>
      </c>
      <c r="D62" s="389"/>
      <c r="E62" s="376">
        <f>E63+E68</f>
        <v>7613170</v>
      </c>
    </row>
    <row r="63" spans="1:5">
      <c r="A63" s="1161"/>
      <c r="B63" s="1172" t="s">
        <v>787</v>
      </c>
      <c r="C63" s="1173"/>
      <c r="D63" s="420"/>
      <c r="E63" s="390">
        <f>SUM(E64:E67)</f>
        <v>7613170</v>
      </c>
    </row>
    <row r="64" spans="1:5" ht="17.25" customHeight="1">
      <c r="A64" s="1161"/>
      <c r="B64" s="1210"/>
      <c r="C64" s="1025" t="s">
        <v>811</v>
      </c>
      <c r="D64" s="1026" t="s">
        <v>791</v>
      </c>
      <c r="E64" s="997">
        <v>1449670</v>
      </c>
    </row>
    <row r="65" spans="1:5" ht="17.25" customHeight="1">
      <c r="A65" s="1161"/>
      <c r="B65" s="1211"/>
      <c r="C65" s="1027" t="s">
        <v>812</v>
      </c>
      <c r="D65" s="1204" t="s">
        <v>789</v>
      </c>
      <c r="E65" s="997">
        <v>500000</v>
      </c>
    </row>
    <row r="66" spans="1:5" ht="19.5" customHeight="1">
      <c r="A66" s="1161"/>
      <c r="B66" s="1211"/>
      <c r="C66" s="1028" t="s">
        <v>813</v>
      </c>
      <c r="D66" s="1205"/>
      <c r="E66" s="997">
        <v>1828000</v>
      </c>
    </row>
    <row r="67" spans="1:5" ht="36" customHeight="1">
      <c r="A67" s="1161"/>
      <c r="B67" s="1212"/>
      <c r="C67" s="421" t="s">
        <v>814</v>
      </c>
      <c r="D67" s="1029" t="s">
        <v>815</v>
      </c>
      <c r="E67" s="997">
        <f>3835500</f>
        <v>3835500</v>
      </c>
    </row>
    <row r="68" spans="1:5" ht="15.75" customHeight="1" thickBot="1">
      <c r="A68" s="1161"/>
      <c r="B68" s="1206" t="s">
        <v>790</v>
      </c>
      <c r="C68" s="1207"/>
      <c r="D68" s="422"/>
      <c r="E68" s="1010">
        <v>0</v>
      </c>
    </row>
    <row r="69" spans="1:5" ht="15.75" thickBot="1">
      <c r="A69" s="1161"/>
      <c r="B69" s="423">
        <v>60003</v>
      </c>
      <c r="C69" s="375" t="s">
        <v>306</v>
      </c>
      <c r="D69" s="375"/>
      <c r="E69" s="385">
        <f>E70</f>
        <v>58720000</v>
      </c>
    </row>
    <row r="70" spans="1:5">
      <c r="A70" s="1161"/>
      <c r="B70" s="1163" t="s">
        <v>787</v>
      </c>
      <c r="C70" s="1173"/>
      <c r="D70" s="391"/>
      <c r="E70" s="390">
        <f>E71</f>
        <v>58720000</v>
      </c>
    </row>
    <row r="71" spans="1:5" ht="38.25">
      <c r="A71" s="1161"/>
      <c r="B71" s="424"/>
      <c r="C71" s="1011" t="s">
        <v>792</v>
      </c>
      <c r="D71" s="395">
        <v>2210</v>
      </c>
      <c r="E71" s="997">
        <v>58720000</v>
      </c>
    </row>
    <row r="72" spans="1:5" ht="15.75" thickBot="1">
      <c r="A72" s="1161"/>
      <c r="B72" s="1164" t="s">
        <v>790</v>
      </c>
      <c r="C72" s="1167"/>
      <c r="D72" s="410"/>
      <c r="E72" s="392">
        <v>0</v>
      </c>
    </row>
    <row r="73" spans="1:5" ht="15.75" thickBot="1">
      <c r="A73" s="1161"/>
      <c r="B73" s="419">
        <v>60004</v>
      </c>
      <c r="C73" s="383" t="s">
        <v>309</v>
      </c>
      <c r="D73" s="389"/>
      <c r="E73" s="376">
        <f>E74</f>
        <v>100000</v>
      </c>
    </row>
    <row r="74" spans="1:5">
      <c r="A74" s="1161"/>
      <c r="B74" s="1163" t="s">
        <v>787</v>
      </c>
      <c r="C74" s="1173"/>
      <c r="D74" s="391"/>
      <c r="E74" s="390">
        <f>E75</f>
        <v>100000</v>
      </c>
    </row>
    <row r="75" spans="1:5">
      <c r="A75" s="1161"/>
      <c r="B75" s="425"/>
      <c r="C75" s="426" t="s">
        <v>816</v>
      </c>
      <c r="D75" s="427" t="s">
        <v>801</v>
      </c>
      <c r="E75" s="1012">
        <v>100000</v>
      </c>
    </row>
    <row r="76" spans="1:5" ht="15.75" thickBot="1">
      <c r="A76" s="1161"/>
      <c r="B76" s="1186" t="s">
        <v>790</v>
      </c>
      <c r="C76" s="1187"/>
      <c r="D76" s="999"/>
      <c r="E76" s="381">
        <v>0</v>
      </c>
    </row>
    <row r="77" spans="1:5" ht="15.75" thickBot="1">
      <c r="A77" s="1161"/>
      <c r="B77" s="428">
        <v>60013</v>
      </c>
      <c r="C77" s="383" t="s">
        <v>311</v>
      </c>
      <c r="D77" s="389"/>
      <c r="E77" s="385">
        <f>E78+E82</f>
        <v>43631153</v>
      </c>
    </row>
    <row r="78" spans="1:5">
      <c r="A78" s="1161"/>
      <c r="B78" s="1163" t="s">
        <v>787</v>
      </c>
      <c r="C78" s="1173"/>
      <c r="D78" s="391"/>
      <c r="E78" s="390">
        <f>SUM(E79:E81)</f>
        <v>14600153</v>
      </c>
    </row>
    <row r="79" spans="1:5" ht="36" customHeight="1">
      <c r="A79" s="1161"/>
      <c r="B79" s="1182"/>
      <c r="C79" s="1184" t="s">
        <v>817</v>
      </c>
      <c r="D79" s="395" t="s">
        <v>801</v>
      </c>
      <c r="E79" s="997">
        <v>800000</v>
      </c>
    </row>
    <row r="80" spans="1:5" ht="33.75" customHeight="1">
      <c r="A80" s="1161"/>
      <c r="B80" s="1182"/>
      <c r="C80" s="1185"/>
      <c r="D80" s="395" t="s">
        <v>789</v>
      </c>
      <c r="E80" s="997">
        <v>9000</v>
      </c>
    </row>
    <row r="81" spans="1:5" ht="52.5" customHeight="1">
      <c r="A81" s="1161"/>
      <c r="B81" s="1182"/>
      <c r="C81" s="1030" t="s">
        <v>818</v>
      </c>
      <c r="D81" s="395" t="s">
        <v>819</v>
      </c>
      <c r="E81" s="997">
        <v>13791153</v>
      </c>
    </row>
    <row r="82" spans="1:5">
      <c r="A82" s="1161"/>
      <c r="B82" s="1176" t="s">
        <v>794</v>
      </c>
      <c r="C82" s="1188"/>
      <c r="D82" s="391"/>
      <c r="E82" s="1010">
        <f>SUM(E83:E85)</f>
        <v>29031000</v>
      </c>
    </row>
    <row r="83" spans="1:5" ht="42.75" customHeight="1">
      <c r="A83" s="1161"/>
      <c r="B83" s="1213"/>
      <c r="C83" s="1000" t="s">
        <v>820</v>
      </c>
      <c r="D83" s="1015">
        <v>6257</v>
      </c>
      <c r="E83" s="997">
        <v>25500000</v>
      </c>
    </row>
    <row r="84" spans="1:5" ht="47.25" customHeight="1">
      <c r="A84" s="1161"/>
      <c r="B84" s="1214"/>
      <c r="C84" s="1031" t="s">
        <v>821</v>
      </c>
      <c r="D84" s="402">
        <v>6300</v>
      </c>
      <c r="E84" s="997">
        <v>3345000</v>
      </c>
    </row>
    <row r="85" spans="1:5" ht="47.25" customHeight="1" thickBot="1">
      <c r="A85" s="1161"/>
      <c r="B85" s="1215"/>
      <c r="C85" s="1032" t="s">
        <v>821</v>
      </c>
      <c r="D85" s="1033">
        <v>6309</v>
      </c>
      <c r="E85" s="442">
        <v>186000</v>
      </c>
    </row>
    <row r="86" spans="1:5" ht="15.75" thickBot="1">
      <c r="A86" s="1161"/>
      <c r="B86" s="429">
        <v>60095</v>
      </c>
      <c r="C86" s="430" t="s">
        <v>129</v>
      </c>
      <c r="D86" s="431"/>
      <c r="E86" s="385">
        <f>E87</f>
        <v>79783</v>
      </c>
    </row>
    <row r="87" spans="1:5">
      <c r="A87" s="1161"/>
      <c r="B87" s="1216" t="s">
        <v>787</v>
      </c>
      <c r="C87" s="1217"/>
      <c r="D87" s="432"/>
      <c r="E87" s="387">
        <f>SUM(E88:E90)</f>
        <v>79783</v>
      </c>
    </row>
    <row r="88" spans="1:5" ht="51">
      <c r="A88" s="1161"/>
      <c r="B88" s="1218"/>
      <c r="C88" s="1034" t="s">
        <v>822</v>
      </c>
      <c r="D88" s="1035" t="s">
        <v>801</v>
      </c>
      <c r="E88" s="997">
        <v>2520</v>
      </c>
    </row>
    <row r="89" spans="1:5" ht="38.25">
      <c r="A89" s="1161"/>
      <c r="B89" s="1219"/>
      <c r="C89" s="433" t="s">
        <v>792</v>
      </c>
      <c r="D89" s="434">
        <v>2210</v>
      </c>
      <c r="E89" s="997">
        <v>74000</v>
      </c>
    </row>
    <row r="90" spans="1:5" ht="38.25">
      <c r="A90" s="1161"/>
      <c r="B90" s="1220"/>
      <c r="C90" s="1034" t="s">
        <v>793</v>
      </c>
      <c r="D90" s="1036">
        <v>2360</v>
      </c>
      <c r="E90" s="997">
        <v>3263</v>
      </c>
    </row>
    <row r="91" spans="1:5" ht="15.75" thickBot="1">
      <c r="A91" s="1162"/>
      <c r="B91" s="1221" t="s">
        <v>790</v>
      </c>
      <c r="C91" s="1222"/>
      <c r="D91" s="435"/>
      <c r="E91" s="1024">
        <v>0</v>
      </c>
    </row>
    <row r="92" spans="1:5" ht="15.75" thickBot="1">
      <c r="A92" s="436">
        <v>630</v>
      </c>
      <c r="B92" s="437"/>
      <c r="C92" s="438" t="s">
        <v>823</v>
      </c>
      <c r="D92" s="439"/>
      <c r="E92" s="415">
        <f>E93</f>
        <v>6620652</v>
      </c>
    </row>
    <row r="93" spans="1:5" ht="15.75" thickBot="1">
      <c r="A93" s="1201"/>
      <c r="B93" s="419">
        <v>63095</v>
      </c>
      <c r="C93" s="383" t="s">
        <v>129</v>
      </c>
      <c r="D93" s="389"/>
      <c r="E93" s="376">
        <f>E94+E95</f>
        <v>6620652</v>
      </c>
    </row>
    <row r="94" spans="1:5">
      <c r="A94" s="1202"/>
      <c r="B94" s="1163" t="s">
        <v>803</v>
      </c>
      <c r="C94" s="1173"/>
      <c r="D94" s="391"/>
      <c r="E94" s="378">
        <v>0</v>
      </c>
    </row>
    <row r="95" spans="1:5">
      <c r="A95" s="1202"/>
      <c r="B95" s="1176" t="s">
        <v>794</v>
      </c>
      <c r="C95" s="1188"/>
      <c r="D95" s="1037"/>
      <c r="E95" s="1010">
        <f>SUM(E96:E97)</f>
        <v>6620652</v>
      </c>
    </row>
    <row r="96" spans="1:5" ht="57.75" customHeight="1">
      <c r="A96" s="1202"/>
      <c r="B96" s="1203"/>
      <c r="C96" s="1023" t="s">
        <v>824</v>
      </c>
      <c r="D96" s="699">
        <v>6207</v>
      </c>
      <c r="E96" s="997">
        <v>5923741</v>
      </c>
    </row>
    <row r="97" spans="1:5" ht="57" customHeight="1" thickBot="1">
      <c r="A97" s="1202"/>
      <c r="B97" s="1203"/>
      <c r="C97" s="1023" t="s">
        <v>825</v>
      </c>
      <c r="D97" s="399">
        <v>6209</v>
      </c>
      <c r="E97" s="997">
        <v>696911</v>
      </c>
    </row>
    <row r="98" spans="1:5" ht="15.75" thickBot="1">
      <c r="A98" s="436">
        <v>700</v>
      </c>
      <c r="B98" s="437"/>
      <c r="C98" s="438" t="s">
        <v>826</v>
      </c>
      <c r="D98" s="440"/>
      <c r="E98" s="372">
        <f>E99</f>
        <v>13569000</v>
      </c>
    </row>
    <row r="99" spans="1:5" ht="15.75" thickBot="1">
      <c r="A99" s="1201"/>
      <c r="B99" s="419">
        <v>70005</v>
      </c>
      <c r="C99" s="383" t="s">
        <v>346</v>
      </c>
      <c r="D99" s="389"/>
      <c r="E99" s="376">
        <f>E100+E103</f>
        <v>13569000</v>
      </c>
    </row>
    <row r="100" spans="1:5">
      <c r="A100" s="1202"/>
      <c r="B100" s="1163" t="s">
        <v>787</v>
      </c>
      <c r="C100" s="1173"/>
      <c r="D100" s="391"/>
      <c r="E100" s="378">
        <f>SUM(E101:E102)</f>
        <v>279000</v>
      </c>
    </row>
    <row r="101" spans="1:5" ht="15" customHeight="1">
      <c r="A101" s="1202"/>
      <c r="B101" s="1197"/>
      <c r="C101" s="1117" t="s">
        <v>827</v>
      </c>
      <c r="D101" s="395" t="s">
        <v>828</v>
      </c>
      <c r="E101" s="441">
        <v>270000</v>
      </c>
    </row>
    <row r="102" spans="1:5" ht="18" customHeight="1">
      <c r="A102" s="1202"/>
      <c r="B102" s="1198"/>
      <c r="C102" s="1118" t="s">
        <v>1069</v>
      </c>
      <c r="D102" s="395" t="s">
        <v>791</v>
      </c>
      <c r="E102" s="997">
        <v>9000</v>
      </c>
    </row>
    <row r="103" spans="1:5">
      <c r="A103" s="1202"/>
      <c r="B103" s="1176" t="s">
        <v>794</v>
      </c>
      <c r="C103" s="1188"/>
      <c r="D103" s="391"/>
      <c r="E103" s="1010">
        <f>E104</f>
        <v>13290000</v>
      </c>
    </row>
    <row r="104" spans="1:5" ht="18" customHeight="1">
      <c r="A104" s="1202"/>
      <c r="B104" s="1199"/>
      <c r="C104" s="426" t="s">
        <v>829</v>
      </c>
      <c r="D104" s="1204" t="s">
        <v>830</v>
      </c>
      <c r="E104" s="1234">
        <v>13290000</v>
      </c>
    </row>
    <row r="105" spans="1:5" ht="222.75" customHeight="1" thickBot="1">
      <c r="A105" s="1200"/>
      <c r="B105" s="1200"/>
      <c r="C105" s="1119" t="s">
        <v>1078</v>
      </c>
      <c r="D105" s="1233"/>
      <c r="E105" s="1235"/>
    </row>
    <row r="106" spans="1:5" ht="15.75" thickBot="1">
      <c r="A106" s="436">
        <v>710</v>
      </c>
      <c r="B106" s="443"/>
      <c r="C106" s="438" t="s">
        <v>748</v>
      </c>
      <c r="D106" s="439"/>
      <c r="E106" s="372">
        <f>E107+E112+E117+E123</f>
        <v>660554</v>
      </c>
    </row>
    <row r="107" spans="1:5" ht="15.75" thickBot="1">
      <c r="A107" s="1160"/>
      <c r="B107" s="419">
        <v>71003</v>
      </c>
      <c r="C107" s="383" t="s">
        <v>352</v>
      </c>
      <c r="D107" s="389"/>
      <c r="E107" s="376">
        <f>E108+E111</f>
        <v>50000</v>
      </c>
    </row>
    <row r="108" spans="1:5">
      <c r="A108" s="1161"/>
      <c r="B108" s="1163" t="s">
        <v>787</v>
      </c>
      <c r="C108" s="1173"/>
      <c r="D108" s="391"/>
      <c r="E108" s="378">
        <f>SUM(E109:E110)</f>
        <v>50000</v>
      </c>
    </row>
    <row r="109" spans="1:5" ht="21" customHeight="1">
      <c r="A109" s="1161"/>
      <c r="B109" s="1168"/>
      <c r="C109" s="1152" t="s">
        <v>831</v>
      </c>
      <c r="D109" s="395" t="s">
        <v>791</v>
      </c>
      <c r="E109" s="997">
        <v>9900</v>
      </c>
    </row>
    <row r="110" spans="1:5" ht="20.25" customHeight="1">
      <c r="A110" s="1161"/>
      <c r="B110" s="1169"/>
      <c r="C110" s="1154"/>
      <c r="D110" s="395" t="s">
        <v>788</v>
      </c>
      <c r="E110" s="997">
        <v>40100</v>
      </c>
    </row>
    <row r="111" spans="1:5" ht="15.75" thickBot="1">
      <c r="A111" s="1161"/>
      <c r="B111" s="1164" t="s">
        <v>790</v>
      </c>
      <c r="C111" s="1167"/>
      <c r="D111" s="410"/>
      <c r="E111" s="381">
        <v>0</v>
      </c>
    </row>
    <row r="112" spans="1:5" ht="15.75" thickBot="1">
      <c r="A112" s="1161"/>
      <c r="B112" s="419">
        <v>71005</v>
      </c>
      <c r="C112" s="383" t="s">
        <v>356</v>
      </c>
      <c r="D112" s="389"/>
      <c r="E112" s="376">
        <f>E113+E116</f>
        <v>5474</v>
      </c>
    </row>
    <row r="113" spans="1:5">
      <c r="A113" s="1161"/>
      <c r="B113" s="1163" t="s">
        <v>787</v>
      </c>
      <c r="C113" s="1173"/>
      <c r="D113" s="391"/>
      <c r="E113" s="390">
        <f>SUM(E114:E115)</f>
        <v>5474</v>
      </c>
    </row>
    <row r="114" spans="1:5" ht="38.25">
      <c r="A114" s="1161"/>
      <c r="B114" s="1191"/>
      <c r="C114" s="1000" t="s">
        <v>792</v>
      </c>
      <c r="D114" s="444">
        <v>2210</v>
      </c>
      <c r="E114" s="1008">
        <v>5000</v>
      </c>
    </row>
    <row r="115" spans="1:5" ht="38.25">
      <c r="A115" s="1161"/>
      <c r="B115" s="1192"/>
      <c r="C115" s="1000" t="s">
        <v>793</v>
      </c>
      <c r="D115" s="444">
        <v>2360</v>
      </c>
      <c r="E115" s="1008">
        <v>474</v>
      </c>
    </row>
    <row r="116" spans="1:5" ht="15.75" thickBot="1">
      <c r="A116" s="1161"/>
      <c r="B116" s="1186" t="s">
        <v>790</v>
      </c>
      <c r="C116" s="1187"/>
      <c r="D116" s="999"/>
      <c r="E116" s="381">
        <v>0</v>
      </c>
    </row>
    <row r="117" spans="1:5" ht="15.75" thickBot="1">
      <c r="A117" s="1161"/>
      <c r="B117" s="445">
        <v>71012</v>
      </c>
      <c r="C117" s="383" t="s">
        <v>755</v>
      </c>
      <c r="D117" s="389"/>
      <c r="E117" s="385">
        <f>E118</f>
        <v>484080</v>
      </c>
    </row>
    <row r="118" spans="1:5">
      <c r="A118" s="1161"/>
      <c r="B118" s="1163" t="s">
        <v>787</v>
      </c>
      <c r="C118" s="1173"/>
      <c r="D118" s="391"/>
      <c r="E118" s="390">
        <f>SUM(E119:E121)</f>
        <v>484080</v>
      </c>
    </row>
    <row r="119" spans="1:5" ht="20.25" customHeight="1">
      <c r="A119" s="1161"/>
      <c r="B119" s="1168"/>
      <c r="C119" s="1193" t="s">
        <v>832</v>
      </c>
      <c r="D119" s="395" t="s">
        <v>801</v>
      </c>
      <c r="E119" s="997">
        <v>15000</v>
      </c>
    </row>
    <row r="120" spans="1:5" ht="47.25" customHeight="1">
      <c r="A120" s="1161"/>
      <c r="B120" s="1182"/>
      <c r="C120" s="1194"/>
      <c r="D120" s="395" t="s">
        <v>789</v>
      </c>
      <c r="E120" s="997">
        <v>80</v>
      </c>
    </row>
    <row r="121" spans="1:5" ht="40.5" customHeight="1">
      <c r="A121" s="1161"/>
      <c r="B121" s="1169"/>
      <c r="C121" s="1000" t="s">
        <v>792</v>
      </c>
      <c r="D121" s="395" t="s">
        <v>833</v>
      </c>
      <c r="E121" s="997">
        <v>469000</v>
      </c>
    </row>
    <row r="122" spans="1:5" ht="16.5" customHeight="1" thickBot="1">
      <c r="A122" s="1161"/>
      <c r="B122" s="1164" t="s">
        <v>790</v>
      </c>
      <c r="C122" s="1195"/>
      <c r="D122" s="446"/>
      <c r="E122" s="1024">
        <v>0</v>
      </c>
    </row>
    <row r="123" spans="1:5" ht="15.75" thickBot="1">
      <c r="A123" s="1161"/>
      <c r="B123" s="428">
        <v>71095</v>
      </c>
      <c r="C123" s="374" t="s">
        <v>129</v>
      </c>
      <c r="D123" s="375"/>
      <c r="E123" s="385">
        <f>E124+E126</f>
        <v>121000</v>
      </c>
    </row>
    <row r="124" spans="1:5">
      <c r="A124" s="1161"/>
      <c r="B124" s="1163" t="s">
        <v>787</v>
      </c>
      <c r="C124" s="1173"/>
      <c r="D124" s="391"/>
      <c r="E124" s="390">
        <f>E125</f>
        <v>100000</v>
      </c>
    </row>
    <row r="125" spans="1:5" ht="38.25">
      <c r="A125" s="1161"/>
      <c r="B125" s="701"/>
      <c r="C125" s="1011" t="s">
        <v>792</v>
      </c>
      <c r="D125" s="402">
        <v>2210</v>
      </c>
      <c r="E125" s="997">
        <v>100000</v>
      </c>
    </row>
    <row r="126" spans="1:5">
      <c r="A126" s="1161"/>
      <c r="B126" s="1164" t="s">
        <v>834</v>
      </c>
      <c r="C126" s="1196"/>
      <c r="D126" s="447"/>
      <c r="E126" s="1010">
        <f>E127</f>
        <v>21000</v>
      </c>
    </row>
    <row r="127" spans="1:5" ht="44.25" customHeight="1" thickBot="1">
      <c r="A127" s="1162"/>
      <c r="B127" s="448"/>
      <c r="C127" s="1038" t="s">
        <v>835</v>
      </c>
      <c r="D127" s="1039">
        <v>6510</v>
      </c>
      <c r="E127" s="449">
        <v>21000</v>
      </c>
    </row>
    <row r="128" spans="1:5" s="452" customFormat="1" ht="17.25" customHeight="1" thickBot="1">
      <c r="A128" s="416">
        <v>720</v>
      </c>
      <c r="B128" s="418"/>
      <c r="C128" s="450" t="s">
        <v>836</v>
      </c>
      <c r="D128" s="451"/>
      <c r="E128" s="372">
        <f>E129</f>
        <v>36217103</v>
      </c>
    </row>
    <row r="129" spans="1:5" ht="15.75" thickBot="1">
      <c r="A129" s="1160"/>
      <c r="B129" s="453">
        <v>72095</v>
      </c>
      <c r="C129" s="383" t="s">
        <v>129</v>
      </c>
      <c r="D129" s="389"/>
      <c r="E129" s="376">
        <f>E130+E132</f>
        <v>36217103</v>
      </c>
    </row>
    <row r="130" spans="1:5">
      <c r="A130" s="1161"/>
      <c r="B130" s="1172" t="s">
        <v>787</v>
      </c>
      <c r="C130" s="1173"/>
      <c r="D130" s="391"/>
      <c r="E130" s="454">
        <f>E131</f>
        <v>10000000</v>
      </c>
    </row>
    <row r="131" spans="1:5" ht="67.5" customHeight="1">
      <c r="A131" s="1161"/>
      <c r="B131" s="1040"/>
      <c r="C131" s="1041" t="s">
        <v>1070</v>
      </c>
      <c r="D131" s="388" t="s">
        <v>789</v>
      </c>
      <c r="E131" s="997">
        <v>10000000</v>
      </c>
    </row>
    <row r="132" spans="1:5">
      <c r="A132" s="1161"/>
      <c r="B132" s="1163" t="s">
        <v>794</v>
      </c>
      <c r="C132" s="1188"/>
      <c r="D132" s="455"/>
      <c r="E132" s="1010">
        <f>E133</f>
        <v>26217103</v>
      </c>
    </row>
    <row r="133" spans="1:5" ht="69" customHeight="1" thickBot="1">
      <c r="A133" s="1161"/>
      <c r="B133" s="456"/>
      <c r="C133" s="1042" t="s">
        <v>837</v>
      </c>
      <c r="D133" s="457" t="s">
        <v>342</v>
      </c>
      <c r="E133" s="997">
        <v>26217103</v>
      </c>
    </row>
    <row r="134" spans="1:5" ht="15.75" thickBot="1">
      <c r="A134" s="436">
        <v>750</v>
      </c>
      <c r="B134" s="443"/>
      <c r="C134" s="458" t="s">
        <v>21</v>
      </c>
      <c r="D134" s="439"/>
      <c r="E134" s="372">
        <f>E135+E139+E146+E151</f>
        <v>12575557</v>
      </c>
    </row>
    <row r="135" spans="1:5" ht="15.75" thickBot="1">
      <c r="A135" s="1189"/>
      <c r="B135" s="419">
        <v>75011</v>
      </c>
      <c r="C135" s="384" t="s">
        <v>374</v>
      </c>
      <c r="D135" s="389"/>
      <c r="E135" s="376">
        <f>E136</f>
        <v>414000</v>
      </c>
    </row>
    <row r="136" spans="1:5">
      <c r="A136" s="1189"/>
      <c r="B136" s="1163" t="s">
        <v>787</v>
      </c>
      <c r="C136" s="1173"/>
      <c r="D136" s="391"/>
      <c r="E136" s="390">
        <f>E137</f>
        <v>414000</v>
      </c>
    </row>
    <row r="137" spans="1:5" ht="38.25">
      <c r="A137" s="1189"/>
      <c r="B137" s="1043"/>
      <c r="C137" s="1011" t="s">
        <v>838</v>
      </c>
      <c r="D137" s="402">
        <v>2210</v>
      </c>
      <c r="E137" s="997">
        <v>414000</v>
      </c>
    </row>
    <row r="138" spans="1:5" ht="15.75" thickBot="1">
      <c r="A138" s="1189"/>
      <c r="B138" s="1190" t="s">
        <v>790</v>
      </c>
      <c r="C138" s="1187"/>
      <c r="D138" s="999"/>
      <c r="E138" s="392">
        <v>0</v>
      </c>
    </row>
    <row r="139" spans="1:5" ht="15.75" thickBot="1">
      <c r="A139" s="1161"/>
      <c r="B139" s="419">
        <v>75018</v>
      </c>
      <c r="C139" s="383" t="s">
        <v>382</v>
      </c>
      <c r="D139" s="389"/>
      <c r="E139" s="376">
        <f>E140+E145</f>
        <v>332000</v>
      </c>
    </row>
    <row r="140" spans="1:5">
      <c r="A140" s="1161"/>
      <c r="B140" s="1163" t="s">
        <v>787</v>
      </c>
      <c r="C140" s="1173"/>
      <c r="D140" s="391"/>
      <c r="E140" s="390">
        <f>SUM(E141:E144)</f>
        <v>332000</v>
      </c>
    </row>
    <row r="141" spans="1:5" ht="31.5" customHeight="1">
      <c r="A141" s="1161"/>
      <c r="B141" s="1168"/>
      <c r="C141" s="1183" t="s">
        <v>839</v>
      </c>
      <c r="D141" s="395" t="s">
        <v>801</v>
      </c>
      <c r="E141" s="997">
        <v>10000</v>
      </c>
    </row>
    <row r="142" spans="1:5" ht="27" customHeight="1">
      <c r="A142" s="1161"/>
      <c r="B142" s="1182"/>
      <c r="C142" s="1184"/>
      <c r="D142" s="395" t="s">
        <v>791</v>
      </c>
      <c r="E142" s="997">
        <v>50000</v>
      </c>
    </row>
    <row r="143" spans="1:5" ht="26.25" customHeight="1">
      <c r="A143" s="1161"/>
      <c r="B143" s="1182"/>
      <c r="C143" s="1185"/>
      <c r="D143" s="395" t="s">
        <v>789</v>
      </c>
      <c r="E143" s="997">
        <v>200000</v>
      </c>
    </row>
    <row r="144" spans="1:5" ht="25.5">
      <c r="A144" s="1161"/>
      <c r="B144" s="1169"/>
      <c r="C144" s="1011" t="s">
        <v>840</v>
      </c>
      <c r="D144" s="395" t="s">
        <v>819</v>
      </c>
      <c r="E144" s="997">
        <v>72000</v>
      </c>
    </row>
    <row r="145" spans="1:5" ht="15.75" thickBot="1">
      <c r="A145" s="1161"/>
      <c r="B145" s="1164" t="s">
        <v>790</v>
      </c>
      <c r="C145" s="1167"/>
      <c r="D145" s="410"/>
      <c r="E145" s="392">
        <v>0</v>
      </c>
    </row>
    <row r="146" spans="1:5" ht="15.75" thickBot="1">
      <c r="A146" s="1161"/>
      <c r="B146" s="419">
        <v>75046</v>
      </c>
      <c r="C146" s="383" t="s">
        <v>425</v>
      </c>
      <c r="D146" s="389"/>
      <c r="E146" s="376">
        <f>E147</f>
        <v>21053</v>
      </c>
    </row>
    <row r="147" spans="1:5">
      <c r="A147" s="1161"/>
      <c r="B147" s="1163" t="s">
        <v>787</v>
      </c>
      <c r="C147" s="1173"/>
      <c r="D147" s="391"/>
      <c r="E147" s="378">
        <f>SUM(E148:E149)</f>
        <v>21053</v>
      </c>
    </row>
    <row r="148" spans="1:5" ht="38.25">
      <c r="A148" s="1161"/>
      <c r="B148" s="1168"/>
      <c r="C148" s="1011" t="s">
        <v>792</v>
      </c>
      <c r="D148" s="402">
        <v>2210</v>
      </c>
      <c r="E148" s="997">
        <v>20000</v>
      </c>
    </row>
    <row r="149" spans="1:5" ht="38.25">
      <c r="A149" s="1161"/>
      <c r="B149" s="1169"/>
      <c r="C149" s="1011" t="s">
        <v>793</v>
      </c>
      <c r="D149" s="402">
        <v>2360</v>
      </c>
      <c r="E149" s="997">
        <v>1053</v>
      </c>
    </row>
    <row r="150" spans="1:5" ht="15.75" thickBot="1">
      <c r="A150" s="1161"/>
      <c r="B150" s="1186" t="s">
        <v>790</v>
      </c>
      <c r="C150" s="1187"/>
      <c r="D150" s="999"/>
      <c r="E150" s="381">
        <v>0</v>
      </c>
    </row>
    <row r="151" spans="1:5" ht="15.75" thickBot="1">
      <c r="A151" s="1161"/>
      <c r="B151" s="428">
        <v>75095</v>
      </c>
      <c r="C151" s="383" t="s">
        <v>129</v>
      </c>
      <c r="D151" s="389"/>
      <c r="E151" s="385">
        <f>E152+E157</f>
        <v>11808504</v>
      </c>
    </row>
    <row r="152" spans="1:5">
      <c r="A152" s="1161"/>
      <c r="B152" s="1172" t="s">
        <v>787</v>
      </c>
      <c r="C152" s="1173"/>
      <c r="D152" s="420"/>
      <c r="E152" s="390">
        <f>SUM(E153:E156)</f>
        <v>5387170</v>
      </c>
    </row>
    <row r="153" spans="1:5" ht="56.25" customHeight="1">
      <c r="A153" s="1161"/>
      <c r="B153" s="459"/>
      <c r="C153" s="460" t="s">
        <v>841</v>
      </c>
      <c r="D153" s="1174">
        <v>2008</v>
      </c>
      <c r="E153" s="997">
        <v>1870000</v>
      </c>
    </row>
    <row r="154" spans="1:5" ht="55.5" customHeight="1">
      <c r="A154" s="1161"/>
      <c r="B154" s="461"/>
      <c r="C154" s="1044" t="s">
        <v>842</v>
      </c>
      <c r="D154" s="1175"/>
      <c r="E154" s="997">
        <v>2709095</v>
      </c>
    </row>
    <row r="155" spans="1:5" ht="48" customHeight="1">
      <c r="A155" s="1161"/>
      <c r="B155" s="461"/>
      <c r="C155" s="462" t="s">
        <v>843</v>
      </c>
      <c r="D155" s="1174">
        <v>2009</v>
      </c>
      <c r="E155" s="997">
        <v>330000</v>
      </c>
    </row>
    <row r="156" spans="1:5" ht="60" customHeight="1">
      <c r="A156" s="1161"/>
      <c r="B156" s="461"/>
      <c r="C156" s="1045" t="s">
        <v>844</v>
      </c>
      <c r="D156" s="1175"/>
      <c r="E156" s="997">
        <v>478075</v>
      </c>
    </row>
    <row r="157" spans="1:5">
      <c r="A157" s="1161"/>
      <c r="B157" s="1176" t="s">
        <v>794</v>
      </c>
      <c r="C157" s="1177"/>
      <c r="D157" s="1037"/>
      <c r="E157" s="1010">
        <f>SUM(E158:E161)</f>
        <v>6421334</v>
      </c>
    </row>
    <row r="158" spans="1:5" ht="66.75" customHeight="1">
      <c r="A158" s="699"/>
      <c r="B158" s="1178"/>
      <c r="C158" s="1046" t="s">
        <v>845</v>
      </c>
      <c r="D158" s="697">
        <v>6207</v>
      </c>
      <c r="E158" s="997">
        <v>5966982</v>
      </c>
    </row>
    <row r="159" spans="1:5" ht="54.75" customHeight="1">
      <c r="A159" s="699"/>
      <c r="B159" s="1178"/>
      <c r="C159" s="1047" t="s">
        <v>846</v>
      </c>
      <c r="D159" s="697">
        <v>6208</v>
      </c>
      <c r="E159" s="997">
        <v>7650</v>
      </c>
    </row>
    <row r="160" spans="1:5" ht="55.5" customHeight="1">
      <c r="A160" s="463"/>
      <c r="B160" s="1178"/>
      <c r="C160" s="1046" t="s">
        <v>847</v>
      </c>
      <c r="D160" s="1180">
        <v>6209</v>
      </c>
      <c r="E160" s="997">
        <v>1350</v>
      </c>
    </row>
    <row r="161" spans="1:5" ht="72" customHeight="1" thickBot="1">
      <c r="A161" s="463"/>
      <c r="B161" s="1179"/>
      <c r="C161" s="464" t="s">
        <v>848</v>
      </c>
      <c r="D161" s="1181"/>
      <c r="E161" s="449">
        <v>445352</v>
      </c>
    </row>
    <row r="162" spans="1:5" ht="15.75" thickBot="1">
      <c r="A162" s="436">
        <v>752</v>
      </c>
      <c r="B162" s="443"/>
      <c r="C162" s="465" t="s">
        <v>749</v>
      </c>
      <c r="D162" s="440"/>
      <c r="E162" s="372">
        <f>E163</f>
        <v>3000</v>
      </c>
    </row>
    <row r="163" spans="1:5" ht="15.75" thickBot="1">
      <c r="A163" s="1160"/>
      <c r="B163" s="419">
        <v>75212</v>
      </c>
      <c r="C163" s="383" t="s">
        <v>472</v>
      </c>
      <c r="D163" s="389"/>
      <c r="E163" s="376">
        <f>E164+E166</f>
        <v>3000</v>
      </c>
    </row>
    <row r="164" spans="1:5">
      <c r="A164" s="1161"/>
      <c r="B164" s="1163" t="s">
        <v>787</v>
      </c>
      <c r="C164" s="1163"/>
      <c r="D164" s="466"/>
      <c r="E164" s="390">
        <f>E165</f>
        <v>3000</v>
      </c>
    </row>
    <row r="165" spans="1:5" ht="38.25">
      <c r="A165" s="1161"/>
      <c r="B165" s="1043"/>
      <c r="C165" s="1011" t="s">
        <v>792</v>
      </c>
      <c r="D165" s="402">
        <v>2210</v>
      </c>
      <c r="E165" s="997">
        <v>3000</v>
      </c>
    </row>
    <row r="166" spans="1:5" ht="15.75" thickBot="1">
      <c r="A166" s="1162"/>
      <c r="B166" s="1164" t="s">
        <v>790</v>
      </c>
      <c r="C166" s="1165"/>
      <c r="D166" s="1006"/>
      <c r="E166" s="1024">
        <v>0</v>
      </c>
    </row>
    <row r="167" spans="1:5" ht="39" thickBot="1">
      <c r="A167" s="436">
        <v>756</v>
      </c>
      <c r="B167" s="467"/>
      <c r="C167" s="438" t="s">
        <v>849</v>
      </c>
      <c r="D167" s="439"/>
      <c r="E167" s="415">
        <f>E168+E173</f>
        <v>188201043</v>
      </c>
    </row>
    <row r="168" spans="1:5" ht="26.25" thickBot="1">
      <c r="A168" s="1160"/>
      <c r="B168" s="419">
        <v>75618</v>
      </c>
      <c r="C168" s="383" t="s">
        <v>850</v>
      </c>
      <c r="D168" s="389"/>
      <c r="E168" s="376">
        <f>E169+E172</f>
        <v>658491</v>
      </c>
    </row>
    <row r="169" spans="1:5">
      <c r="A169" s="1161"/>
      <c r="B169" s="1163" t="s">
        <v>787</v>
      </c>
      <c r="C169" s="1163"/>
      <c r="D169" s="466"/>
      <c r="E169" s="390">
        <f>SUM(E170:E171)</f>
        <v>658491</v>
      </c>
    </row>
    <row r="170" spans="1:5" ht="15.75" customHeight="1">
      <c r="A170" s="1161"/>
      <c r="B170" s="1166"/>
      <c r="C170" s="1011" t="s">
        <v>851</v>
      </c>
      <c r="D170" s="395" t="s">
        <v>852</v>
      </c>
      <c r="E170" s="997">
        <v>641991</v>
      </c>
    </row>
    <row r="171" spans="1:5" ht="51">
      <c r="A171" s="1161"/>
      <c r="B171" s="1166"/>
      <c r="C171" s="468" t="s">
        <v>853</v>
      </c>
      <c r="D171" s="427" t="s">
        <v>789</v>
      </c>
      <c r="E171" s="997">
        <v>16500</v>
      </c>
    </row>
    <row r="172" spans="1:5" ht="15.75" thickBot="1">
      <c r="A172" s="1161"/>
      <c r="B172" s="1164" t="s">
        <v>790</v>
      </c>
      <c r="C172" s="1167"/>
      <c r="D172" s="469"/>
      <c r="E172" s="1024">
        <v>0</v>
      </c>
    </row>
    <row r="173" spans="1:5" ht="26.25" thickBot="1">
      <c r="A173" s="1161"/>
      <c r="B173" s="428">
        <v>75623</v>
      </c>
      <c r="C173" s="383" t="s">
        <v>854</v>
      </c>
      <c r="D173" s="389"/>
      <c r="E173" s="385">
        <f>E174+E177</f>
        <v>187542552</v>
      </c>
    </row>
    <row r="174" spans="1:5">
      <c r="A174" s="1161"/>
      <c r="B174" s="1163" t="s">
        <v>787</v>
      </c>
      <c r="C174" s="1163"/>
      <c r="D174" s="466"/>
      <c r="E174" s="390">
        <f>SUM(E175:E176)</f>
        <v>187542552</v>
      </c>
    </row>
    <row r="175" spans="1:5">
      <c r="A175" s="1161"/>
      <c r="B175" s="1168"/>
      <c r="C175" s="1011" t="s">
        <v>855</v>
      </c>
      <c r="D175" s="395" t="s">
        <v>856</v>
      </c>
      <c r="E175" s="997">
        <v>47997592</v>
      </c>
    </row>
    <row r="176" spans="1:5">
      <c r="A176" s="1161"/>
      <c r="B176" s="1169"/>
      <c r="C176" s="1011" t="s">
        <v>857</v>
      </c>
      <c r="D176" s="395" t="s">
        <v>858</v>
      </c>
      <c r="E176" s="997">
        <v>139544960</v>
      </c>
    </row>
    <row r="177" spans="1:5" ht="15.75" thickBot="1">
      <c r="A177" s="1161"/>
      <c r="B177" s="1170" t="s">
        <v>790</v>
      </c>
      <c r="C177" s="1171"/>
      <c r="D177" s="999"/>
      <c r="E177" s="381">
        <v>0</v>
      </c>
    </row>
    <row r="178" spans="1:5" ht="15.75" thickBot="1">
      <c r="A178" s="470">
        <v>758</v>
      </c>
      <c r="B178" s="471"/>
      <c r="C178" s="472" t="s">
        <v>859</v>
      </c>
      <c r="D178" s="473"/>
      <c r="E178" s="415">
        <f>E179+E183+E187+E191+E195+E201+E205+E211</f>
        <v>334589616</v>
      </c>
    </row>
    <row r="179" spans="1:5" s="477" customFormat="1" ht="26.25" thickBot="1">
      <c r="A179" s="1157"/>
      <c r="B179" s="474">
        <v>75801</v>
      </c>
      <c r="C179" s="475" t="s">
        <v>860</v>
      </c>
      <c r="D179" s="476"/>
      <c r="E179" s="376">
        <f>E180+E182</f>
        <v>40535691</v>
      </c>
    </row>
    <row r="180" spans="1:5">
      <c r="A180" s="1144"/>
      <c r="B180" s="1158" t="s">
        <v>787</v>
      </c>
      <c r="C180" s="1158"/>
      <c r="D180" s="478"/>
      <c r="E180" s="390">
        <f>E181</f>
        <v>40535691</v>
      </c>
    </row>
    <row r="181" spans="1:5" ht="18" customHeight="1">
      <c r="A181" s="1144"/>
      <c r="B181" s="1048"/>
      <c r="C181" s="1049" t="s">
        <v>861</v>
      </c>
      <c r="D181" s="1050">
        <v>2920</v>
      </c>
      <c r="E181" s="997">
        <v>40535691</v>
      </c>
    </row>
    <row r="182" spans="1:5" ht="15.75" thickBot="1">
      <c r="A182" s="1144"/>
      <c r="B182" s="1159" t="s">
        <v>790</v>
      </c>
      <c r="C182" s="1159"/>
      <c r="D182" s="479"/>
      <c r="E182" s="392">
        <v>0</v>
      </c>
    </row>
    <row r="183" spans="1:5" ht="15.75" thickBot="1">
      <c r="A183" s="1144"/>
      <c r="B183" s="474">
        <v>75804</v>
      </c>
      <c r="C183" s="475" t="s">
        <v>862</v>
      </c>
      <c r="D183" s="476"/>
      <c r="E183" s="376">
        <f>E184+E186</f>
        <v>117006433</v>
      </c>
    </row>
    <row r="184" spans="1:5">
      <c r="A184" s="1144"/>
      <c r="B184" s="1158" t="s">
        <v>787</v>
      </c>
      <c r="C184" s="1158"/>
      <c r="D184" s="478"/>
      <c r="E184" s="390">
        <f>E185</f>
        <v>117006433</v>
      </c>
    </row>
    <row r="185" spans="1:5" ht="19.5" customHeight="1">
      <c r="A185" s="1144"/>
      <c r="B185" s="1048"/>
      <c r="C185" s="1049" t="s">
        <v>861</v>
      </c>
      <c r="D185" s="1050">
        <v>2920</v>
      </c>
      <c r="E185" s="997">
        <v>117006433</v>
      </c>
    </row>
    <row r="186" spans="1:5" ht="17.25" customHeight="1" thickBot="1">
      <c r="A186" s="1144"/>
      <c r="B186" s="1159" t="s">
        <v>790</v>
      </c>
      <c r="C186" s="1159"/>
      <c r="D186" s="479"/>
      <c r="E186" s="392">
        <v>0</v>
      </c>
    </row>
    <row r="187" spans="1:5" ht="15.75" thickBot="1">
      <c r="A187" s="1144"/>
      <c r="B187" s="474">
        <v>75814</v>
      </c>
      <c r="C187" s="475" t="s">
        <v>863</v>
      </c>
      <c r="D187" s="476"/>
      <c r="E187" s="376">
        <f>E188+E190</f>
        <v>3550000</v>
      </c>
    </row>
    <row r="188" spans="1:5">
      <c r="A188" s="1144"/>
      <c r="B188" s="1158" t="s">
        <v>787</v>
      </c>
      <c r="C188" s="1158"/>
      <c r="D188" s="478"/>
      <c r="E188" s="390">
        <f>E189</f>
        <v>3550000</v>
      </c>
    </row>
    <row r="189" spans="1:5" ht="18.75" customHeight="1">
      <c r="A189" s="1144"/>
      <c r="B189" s="1048"/>
      <c r="C189" s="1049" t="s">
        <v>864</v>
      </c>
      <c r="D189" s="1051" t="s">
        <v>865</v>
      </c>
      <c r="E189" s="997">
        <v>3550000</v>
      </c>
    </row>
    <row r="190" spans="1:5" ht="15.75" thickBot="1">
      <c r="A190" s="1144"/>
      <c r="B190" s="1159" t="s">
        <v>790</v>
      </c>
      <c r="C190" s="1159"/>
      <c r="D190" s="479"/>
      <c r="E190" s="392">
        <v>0</v>
      </c>
    </row>
    <row r="191" spans="1:5" ht="15.75" thickBot="1">
      <c r="A191" s="1144"/>
      <c r="B191" s="474">
        <v>75833</v>
      </c>
      <c r="C191" s="475" t="s">
        <v>866</v>
      </c>
      <c r="D191" s="476"/>
      <c r="E191" s="376">
        <f>E192+E194</f>
        <v>52366166</v>
      </c>
    </row>
    <row r="192" spans="1:5">
      <c r="A192" s="1144"/>
      <c r="B192" s="1158" t="s">
        <v>787</v>
      </c>
      <c r="C192" s="1158"/>
      <c r="D192" s="478"/>
      <c r="E192" s="390">
        <f>E193</f>
        <v>52366166</v>
      </c>
    </row>
    <row r="193" spans="1:5" ht="17.25" customHeight="1">
      <c r="A193" s="1144"/>
      <c r="B193" s="1048"/>
      <c r="C193" s="1049" t="s">
        <v>861</v>
      </c>
      <c r="D193" s="1051" t="s">
        <v>867</v>
      </c>
      <c r="E193" s="997">
        <v>52366166</v>
      </c>
    </row>
    <row r="194" spans="1:5" ht="15.75" thickBot="1">
      <c r="A194" s="1144"/>
      <c r="B194" s="1159" t="s">
        <v>790</v>
      </c>
      <c r="C194" s="1159"/>
      <c r="D194" s="479"/>
      <c r="E194" s="1024">
        <v>0</v>
      </c>
    </row>
    <row r="195" spans="1:5" ht="15.75" thickBot="1">
      <c r="A195" s="1144"/>
      <c r="B195" s="480">
        <v>75861</v>
      </c>
      <c r="C195" s="475" t="s">
        <v>868</v>
      </c>
      <c r="D195" s="476"/>
      <c r="E195" s="385">
        <f>E196+E198</f>
        <v>26957000</v>
      </c>
    </row>
    <row r="196" spans="1:5">
      <c r="A196" s="1144"/>
      <c r="B196" s="1158" t="s">
        <v>787</v>
      </c>
      <c r="C196" s="1158"/>
      <c r="D196" s="478"/>
      <c r="E196" s="390">
        <f>E197</f>
        <v>876000</v>
      </c>
    </row>
    <row r="197" spans="1:5" ht="38.25" customHeight="1">
      <c r="A197" s="1144"/>
      <c r="B197" s="481"/>
      <c r="C197" s="1052" t="s">
        <v>869</v>
      </c>
      <c r="D197" s="1053">
        <v>2009</v>
      </c>
      <c r="E197" s="997">
        <v>876000</v>
      </c>
    </row>
    <row r="198" spans="1:5">
      <c r="A198" s="1144"/>
      <c r="B198" s="1140" t="s">
        <v>794</v>
      </c>
      <c r="C198" s="1140"/>
      <c r="D198" s="1054"/>
      <c r="E198" s="1055">
        <f>SUM(E199:E200)</f>
        <v>26081000</v>
      </c>
    </row>
    <row r="199" spans="1:5" ht="44.25" customHeight="1">
      <c r="A199" s="1144"/>
      <c r="B199" s="705"/>
      <c r="C199" s="1052" t="s">
        <v>870</v>
      </c>
      <c r="D199" s="1155">
        <v>6209</v>
      </c>
      <c r="E199" s="997">
        <v>19561912</v>
      </c>
    </row>
    <row r="200" spans="1:5" ht="55.5" customHeight="1" thickBot="1">
      <c r="A200" s="1144"/>
      <c r="B200" s="705"/>
      <c r="C200" s="482" t="s">
        <v>871</v>
      </c>
      <c r="D200" s="1156"/>
      <c r="E200" s="1012">
        <v>6519088</v>
      </c>
    </row>
    <row r="201" spans="1:5" ht="15.75" thickBot="1">
      <c r="A201" s="1144"/>
      <c r="B201" s="483">
        <v>75862</v>
      </c>
      <c r="C201" s="484" t="s">
        <v>872</v>
      </c>
      <c r="D201" s="485"/>
      <c r="E201" s="385">
        <f>E202+E204</f>
        <v>8490</v>
      </c>
    </row>
    <row r="202" spans="1:5">
      <c r="A202" s="1144"/>
      <c r="B202" s="1132" t="s">
        <v>787</v>
      </c>
      <c r="C202" s="1132"/>
      <c r="D202" s="486"/>
      <c r="E202" s="390">
        <f>E203</f>
        <v>8490</v>
      </c>
    </row>
    <row r="203" spans="1:5" ht="25.5">
      <c r="A203" s="1144"/>
      <c r="B203" s="487"/>
      <c r="C203" s="1056" t="s">
        <v>873</v>
      </c>
      <c r="D203" s="1057">
        <v>2009</v>
      </c>
      <c r="E203" s="997">
        <v>8490</v>
      </c>
    </row>
    <row r="204" spans="1:5" ht="15.75" thickBot="1">
      <c r="A204" s="1144"/>
      <c r="B204" s="1140" t="s">
        <v>790</v>
      </c>
      <c r="C204" s="1140"/>
      <c r="D204" s="1058"/>
      <c r="E204" s="1010">
        <v>0</v>
      </c>
    </row>
    <row r="205" spans="1:5" ht="39" thickBot="1">
      <c r="A205" s="1144"/>
      <c r="B205" s="483">
        <v>75863</v>
      </c>
      <c r="C205" s="484" t="s">
        <v>874</v>
      </c>
      <c r="D205" s="485"/>
      <c r="E205" s="376">
        <f>E206+E208</f>
        <v>23068667</v>
      </c>
    </row>
    <row r="206" spans="1:5">
      <c r="A206" s="1144"/>
      <c r="B206" s="1139" t="s">
        <v>787</v>
      </c>
      <c r="C206" s="1132"/>
      <c r="D206" s="486"/>
      <c r="E206" s="390">
        <f>E207</f>
        <v>850000</v>
      </c>
    </row>
    <row r="207" spans="1:5" ht="48.75" customHeight="1">
      <c r="A207" s="1144"/>
      <c r="B207" s="1059"/>
      <c r="C207" s="1060" t="s">
        <v>875</v>
      </c>
      <c r="D207" s="1061">
        <v>2057</v>
      </c>
      <c r="E207" s="997">
        <v>850000</v>
      </c>
    </row>
    <row r="208" spans="1:5">
      <c r="A208" s="1144"/>
      <c r="B208" s="1132" t="s">
        <v>794</v>
      </c>
      <c r="C208" s="1140"/>
      <c r="D208" s="1062"/>
      <c r="E208" s="1010">
        <f>SUM(E209:E210)</f>
        <v>22218667</v>
      </c>
    </row>
    <row r="209" spans="1:5" ht="39" customHeight="1">
      <c r="A209" s="1144"/>
      <c r="B209" s="705"/>
      <c r="C209" s="1052" t="s">
        <v>876</v>
      </c>
      <c r="D209" s="1061">
        <v>6209</v>
      </c>
      <c r="E209" s="997">
        <v>1000000</v>
      </c>
    </row>
    <row r="210" spans="1:5" ht="42" customHeight="1" thickBot="1">
      <c r="A210" s="1144"/>
      <c r="B210" s="705"/>
      <c r="C210" s="488" t="s">
        <v>875</v>
      </c>
      <c r="D210" s="489">
        <v>6257</v>
      </c>
      <c r="E210" s="449">
        <v>21218667</v>
      </c>
    </row>
    <row r="211" spans="1:5" ht="29.25" customHeight="1" thickBot="1">
      <c r="A211" s="1144"/>
      <c r="B211" s="483">
        <v>75864</v>
      </c>
      <c r="C211" s="484" t="s">
        <v>877</v>
      </c>
      <c r="D211" s="485"/>
      <c r="E211" s="376">
        <f>E212+E215</f>
        <v>71097169</v>
      </c>
    </row>
    <row r="212" spans="1:5">
      <c r="A212" s="1144"/>
      <c r="B212" s="1139" t="s">
        <v>787</v>
      </c>
      <c r="C212" s="1132"/>
      <c r="D212" s="486"/>
      <c r="E212" s="390">
        <f>SUM(E213:E214)</f>
        <v>70291169</v>
      </c>
    </row>
    <row r="213" spans="1:5" s="477" customFormat="1" ht="42.75" customHeight="1">
      <c r="A213" s="1144"/>
      <c r="B213" s="1063"/>
      <c r="C213" s="1052" t="s">
        <v>876</v>
      </c>
      <c r="D213" s="1053">
        <v>2009</v>
      </c>
      <c r="E213" s="997">
        <v>26818304</v>
      </c>
    </row>
    <row r="214" spans="1:5" ht="38.25">
      <c r="A214" s="1144"/>
      <c r="B214" s="490"/>
      <c r="C214" s="1060" t="s">
        <v>878</v>
      </c>
      <c r="D214" s="491">
        <v>2058</v>
      </c>
      <c r="E214" s="441">
        <v>43472865</v>
      </c>
    </row>
    <row r="215" spans="1:5">
      <c r="A215" s="1144"/>
      <c r="B215" s="1151" t="s">
        <v>794</v>
      </c>
      <c r="C215" s="1140"/>
      <c r="D215" s="1058"/>
      <c r="E215" s="1010">
        <f>SUM(E216:E217)</f>
        <v>806000</v>
      </c>
    </row>
    <row r="216" spans="1:5" s="477" customFormat="1" ht="42" customHeight="1">
      <c r="A216" s="1144"/>
      <c r="B216" s="1063"/>
      <c r="C216" s="1052" t="s">
        <v>879</v>
      </c>
      <c r="D216" s="1053">
        <v>6209</v>
      </c>
      <c r="E216" s="997">
        <v>24000</v>
      </c>
    </row>
    <row r="217" spans="1:5" ht="42.75" customHeight="1" thickBot="1">
      <c r="A217" s="1144"/>
      <c r="B217" s="492"/>
      <c r="C217" s="493" t="s">
        <v>880</v>
      </c>
      <c r="D217" s="1064">
        <v>6258</v>
      </c>
      <c r="E217" s="449">
        <v>782000</v>
      </c>
    </row>
    <row r="218" spans="1:5" s="497" customFormat="1" ht="16.5" customHeight="1" thickBot="1">
      <c r="A218" s="470">
        <v>801</v>
      </c>
      <c r="B218" s="494"/>
      <c r="C218" s="495" t="s">
        <v>881</v>
      </c>
      <c r="D218" s="496"/>
      <c r="E218" s="415">
        <f>E219+E223+E227+E233</f>
        <v>70739</v>
      </c>
    </row>
    <row r="219" spans="1:5" s="501" customFormat="1" ht="15.75" thickBot="1">
      <c r="A219" s="1136"/>
      <c r="B219" s="498">
        <v>80102</v>
      </c>
      <c r="C219" s="499" t="s">
        <v>511</v>
      </c>
      <c r="D219" s="500"/>
      <c r="E219" s="376">
        <f>E220</f>
        <v>1700</v>
      </c>
    </row>
    <row r="220" spans="1:5">
      <c r="A220" s="1137"/>
      <c r="B220" s="1132" t="s">
        <v>787</v>
      </c>
      <c r="C220" s="1132"/>
      <c r="D220" s="486"/>
      <c r="E220" s="378">
        <f>E221</f>
        <v>1700</v>
      </c>
    </row>
    <row r="221" spans="1:5" ht="39.75" customHeight="1">
      <c r="A221" s="1137"/>
      <c r="B221" s="704"/>
      <c r="C221" s="1000" t="s">
        <v>882</v>
      </c>
      <c r="D221" s="1065" t="s">
        <v>789</v>
      </c>
      <c r="E221" s="997">
        <v>1700</v>
      </c>
    </row>
    <row r="222" spans="1:5" ht="15.75" thickBot="1">
      <c r="A222" s="1137"/>
      <c r="B222" s="1135" t="s">
        <v>790</v>
      </c>
      <c r="C222" s="1135"/>
      <c r="D222" s="703"/>
      <c r="E222" s="381">
        <v>0</v>
      </c>
    </row>
    <row r="223" spans="1:5" s="501" customFormat="1" ht="15.75" thickBot="1">
      <c r="A223" s="1137"/>
      <c r="B223" s="498">
        <v>80130</v>
      </c>
      <c r="C223" s="499" t="s">
        <v>507</v>
      </c>
      <c r="D223" s="500"/>
      <c r="E223" s="376">
        <f>E224</f>
        <v>7520</v>
      </c>
    </row>
    <row r="224" spans="1:5">
      <c r="A224" s="1137"/>
      <c r="B224" s="1132" t="s">
        <v>787</v>
      </c>
      <c r="C224" s="1132"/>
      <c r="D224" s="486"/>
      <c r="E224" s="390">
        <f>E225</f>
        <v>7520</v>
      </c>
    </row>
    <row r="225" spans="1:5" ht="46.5" customHeight="1">
      <c r="A225" s="1137"/>
      <c r="B225" s="705"/>
      <c r="C225" s="502" t="s">
        <v>883</v>
      </c>
      <c r="D225" s="1065" t="s">
        <v>789</v>
      </c>
      <c r="E225" s="997">
        <v>7520</v>
      </c>
    </row>
    <row r="226" spans="1:5" ht="15.75" thickBot="1">
      <c r="A226" s="1137"/>
      <c r="B226" s="1140" t="s">
        <v>790</v>
      </c>
      <c r="C226" s="1140"/>
      <c r="D226" s="1066"/>
      <c r="E226" s="392">
        <v>0</v>
      </c>
    </row>
    <row r="227" spans="1:5" s="501" customFormat="1" ht="15.75" thickBot="1">
      <c r="A227" s="1137"/>
      <c r="B227" s="498">
        <v>80147</v>
      </c>
      <c r="C227" s="499" t="s">
        <v>534</v>
      </c>
      <c r="D227" s="500"/>
      <c r="E227" s="376">
        <f>E228</f>
        <v>34466</v>
      </c>
    </row>
    <row r="228" spans="1:5">
      <c r="A228" s="1137"/>
      <c r="B228" s="1132" t="s">
        <v>787</v>
      </c>
      <c r="C228" s="1132"/>
      <c r="D228" s="486"/>
      <c r="E228" s="390">
        <f>SUM(E229:E231)</f>
        <v>34466</v>
      </c>
    </row>
    <row r="229" spans="1:5" ht="18.75" customHeight="1">
      <c r="A229" s="1137"/>
      <c r="B229" s="1148"/>
      <c r="C229" s="1152" t="s">
        <v>884</v>
      </c>
      <c r="D229" s="1065" t="s">
        <v>791</v>
      </c>
      <c r="E229" s="997">
        <v>2016</v>
      </c>
    </row>
    <row r="230" spans="1:5" ht="18.75" customHeight="1">
      <c r="A230" s="1137"/>
      <c r="B230" s="1133"/>
      <c r="C230" s="1153"/>
      <c r="D230" s="1065" t="s">
        <v>788</v>
      </c>
      <c r="E230" s="997">
        <v>3500</v>
      </c>
    </row>
    <row r="231" spans="1:5" ht="17.25" customHeight="1">
      <c r="A231" s="1137"/>
      <c r="B231" s="1133"/>
      <c r="C231" s="1154"/>
      <c r="D231" s="1065" t="s">
        <v>789</v>
      </c>
      <c r="E231" s="997">
        <v>28950</v>
      </c>
    </row>
    <row r="232" spans="1:5" ht="15.75" thickBot="1">
      <c r="A232" s="1137"/>
      <c r="B232" s="1135" t="s">
        <v>790</v>
      </c>
      <c r="C232" s="1135"/>
      <c r="D232" s="503"/>
      <c r="E232" s="392">
        <v>0</v>
      </c>
    </row>
    <row r="233" spans="1:5" s="501" customFormat="1" ht="15.75" thickBot="1">
      <c r="A233" s="1137"/>
      <c r="B233" s="498">
        <v>80195</v>
      </c>
      <c r="C233" s="499" t="s">
        <v>129</v>
      </c>
      <c r="D233" s="500"/>
      <c r="E233" s="376">
        <f>E234+E236</f>
        <v>27053</v>
      </c>
    </row>
    <row r="234" spans="1:5">
      <c r="A234" s="1137"/>
      <c r="B234" s="1132" t="s">
        <v>787</v>
      </c>
      <c r="C234" s="1139"/>
      <c r="D234" s="486"/>
      <c r="E234" s="390">
        <f>E235</f>
        <v>27053</v>
      </c>
    </row>
    <row r="235" spans="1:5" s="477" customFormat="1" ht="58.5" customHeight="1">
      <c r="A235" s="1137"/>
      <c r="B235" s="504"/>
      <c r="C235" s="1067" t="s">
        <v>885</v>
      </c>
      <c r="D235" s="1068">
        <v>2051</v>
      </c>
      <c r="E235" s="997">
        <v>27053</v>
      </c>
    </row>
    <row r="236" spans="1:5" ht="15.75" thickBot="1">
      <c r="A236" s="1137"/>
      <c r="B236" s="1135" t="s">
        <v>790</v>
      </c>
      <c r="C236" s="1135"/>
      <c r="D236" s="503"/>
      <c r="E236" s="392">
        <v>0</v>
      </c>
    </row>
    <row r="237" spans="1:5" s="497" customFormat="1" ht="15.75" thickBot="1">
      <c r="A237" s="470">
        <v>851</v>
      </c>
      <c r="B237" s="494"/>
      <c r="C237" s="495" t="s">
        <v>886</v>
      </c>
      <c r="D237" s="496"/>
      <c r="E237" s="505">
        <f>E238+E242</f>
        <v>37000</v>
      </c>
    </row>
    <row r="238" spans="1:5" s="501" customFormat="1" ht="26.25" thickBot="1">
      <c r="A238" s="1137"/>
      <c r="B238" s="483">
        <v>85156</v>
      </c>
      <c r="C238" s="484" t="s">
        <v>580</v>
      </c>
      <c r="D238" s="485"/>
      <c r="E238" s="376">
        <f>E239</f>
        <v>27000</v>
      </c>
    </row>
    <row r="239" spans="1:5" ht="12.75" customHeight="1">
      <c r="A239" s="1137"/>
      <c r="B239" s="1149" t="s">
        <v>787</v>
      </c>
      <c r="C239" s="1150"/>
      <c r="D239" s="486"/>
      <c r="E239" s="390">
        <f>E240</f>
        <v>27000</v>
      </c>
    </row>
    <row r="240" spans="1:5" ht="46.5" customHeight="1">
      <c r="A240" s="1137"/>
      <c r="B240" s="487"/>
      <c r="C240" s="506" t="s">
        <v>792</v>
      </c>
      <c r="D240" s="1057">
        <v>2210</v>
      </c>
      <c r="E240" s="997">
        <v>27000</v>
      </c>
    </row>
    <row r="241" spans="1:5" ht="15.75" thickBot="1">
      <c r="A241" s="1137"/>
      <c r="B241" s="1135" t="s">
        <v>790</v>
      </c>
      <c r="C241" s="1147"/>
      <c r="D241" s="703"/>
      <c r="E241" s="392">
        <v>0</v>
      </c>
    </row>
    <row r="242" spans="1:5" s="501" customFormat="1" ht="15.75" thickBot="1">
      <c r="A242" s="702"/>
      <c r="B242" s="483">
        <v>85195</v>
      </c>
      <c r="C242" s="484" t="s">
        <v>129</v>
      </c>
      <c r="D242" s="485"/>
      <c r="E242" s="376">
        <f>E243+E245</f>
        <v>10000</v>
      </c>
    </row>
    <row r="243" spans="1:5" ht="12.75" customHeight="1">
      <c r="A243" s="702"/>
      <c r="B243" s="1132" t="s">
        <v>787</v>
      </c>
      <c r="C243" s="1146"/>
      <c r="D243" s="486"/>
      <c r="E243" s="390">
        <f>E244</f>
        <v>10000</v>
      </c>
    </row>
    <row r="244" spans="1:5" ht="45" customHeight="1">
      <c r="A244" s="702"/>
      <c r="B244" s="1069"/>
      <c r="C244" s="1070" t="s">
        <v>792</v>
      </c>
      <c r="D244" s="1057">
        <v>2210</v>
      </c>
      <c r="E244" s="997">
        <v>10000</v>
      </c>
    </row>
    <row r="245" spans="1:5" ht="15.75" thickBot="1">
      <c r="A245" s="702"/>
      <c r="B245" s="1135" t="s">
        <v>790</v>
      </c>
      <c r="C245" s="1147"/>
      <c r="D245" s="703"/>
      <c r="E245" s="1024">
        <v>0</v>
      </c>
    </row>
    <row r="246" spans="1:5" s="497" customFormat="1" ht="15.75" thickBot="1">
      <c r="A246" s="470">
        <v>852</v>
      </c>
      <c r="B246" s="494"/>
      <c r="C246" s="495" t="s">
        <v>750</v>
      </c>
      <c r="D246" s="496"/>
      <c r="E246" s="415">
        <f>E247+E252+E256</f>
        <v>3219736</v>
      </c>
    </row>
    <row r="247" spans="1:5" s="501" customFormat="1" ht="39" thickBot="1">
      <c r="A247" s="507"/>
      <c r="B247" s="483">
        <v>85212</v>
      </c>
      <c r="C247" s="484" t="s">
        <v>751</v>
      </c>
      <c r="D247" s="485"/>
      <c r="E247" s="376">
        <f>E248+E251</f>
        <v>2219308</v>
      </c>
    </row>
    <row r="248" spans="1:5">
      <c r="A248" s="507"/>
      <c r="B248" s="1132" t="s">
        <v>787</v>
      </c>
      <c r="C248" s="1132"/>
      <c r="D248" s="486"/>
      <c r="E248" s="390">
        <f>SUM(E249:E250)</f>
        <v>2219308</v>
      </c>
    </row>
    <row r="249" spans="1:5" ht="32.25" customHeight="1">
      <c r="A249" s="507"/>
      <c r="B249" s="1148"/>
      <c r="C249" s="1052" t="s">
        <v>887</v>
      </c>
      <c r="D249" s="1071" t="s">
        <v>789</v>
      </c>
      <c r="E249" s="997">
        <v>308</v>
      </c>
    </row>
    <row r="250" spans="1:5" ht="38.25">
      <c r="A250" s="507"/>
      <c r="B250" s="1134"/>
      <c r="C250" s="1056" t="s">
        <v>792</v>
      </c>
      <c r="D250" s="1071" t="s">
        <v>833</v>
      </c>
      <c r="E250" s="997">
        <v>2219000</v>
      </c>
    </row>
    <row r="251" spans="1:5" ht="15.75" thickBot="1">
      <c r="A251" s="507"/>
      <c r="B251" s="1135" t="s">
        <v>790</v>
      </c>
      <c r="C251" s="1135"/>
      <c r="D251" s="703"/>
      <c r="E251" s="1010">
        <v>0</v>
      </c>
    </row>
    <row r="252" spans="1:5" ht="15.75" thickBot="1">
      <c r="A252" s="1137"/>
      <c r="B252" s="483">
        <v>85226</v>
      </c>
      <c r="C252" s="485" t="s">
        <v>888</v>
      </c>
      <c r="D252" s="500"/>
      <c r="E252" s="376">
        <f>E253</f>
        <v>750000</v>
      </c>
    </row>
    <row r="253" spans="1:5">
      <c r="A253" s="1137"/>
      <c r="B253" s="1132" t="s">
        <v>787</v>
      </c>
      <c r="C253" s="1132"/>
      <c r="D253" s="486"/>
      <c r="E253" s="390">
        <f>E254</f>
        <v>750000</v>
      </c>
    </row>
    <row r="254" spans="1:5" ht="38.25">
      <c r="A254" s="1137"/>
      <c r="B254" s="1059"/>
      <c r="C254" s="1056" t="s">
        <v>792</v>
      </c>
      <c r="D254" s="1053">
        <v>2210</v>
      </c>
      <c r="E254" s="997">
        <v>750000</v>
      </c>
    </row>
    <row r="255" spans="1:5" ht="15.75" thickBot="1">
      <c r="A255" s="1137"/>
      <c r="B255" s="1135" t="s">
        <v>790</v>
      </c>
      <c r="C255" s="1135"/>
      <c r="D255" s="703"/>
      <c r="E255" s="1010">
        <v>0</v>
      </c>
    </row>
    <row r="256" spans="1:5" s="501" customFormat="1" ht="15.75" thickBot="1">
      <c r="A256" s="1137"/>
      <c r="B256" s="483">
        <v>85295</v>
      </c>
      <c r="C256" s="484" t="s">
        <v>129</v>
      </c>
      <c r="D256" s="485"/>
      <c r="E256" s="376">
        <f>E257+E259</f>
        <v>250428</v>
      </c>
    </row>
    <row r="257" spans="1:5">
      <c r="A257" s="1137"/>
      <c r="B257" s="1132" t="s">
        <v>787</v>
      </c>
      <c r="C257" s="1132"/>
      <c r="D257" s="486"/>
      <c r="E257" s="390">
        <f>E258</f>
        <v>250428</v>
      </c>
    </row>
    <row r="258" spans="1:5" ht="79.5" customHeight="1">
      <c r="A258" s="1137"/>
      <c r="B258" s="1072"/>
      <c r="C258" s="1052" t="s">
        <v>889</v>
      </c>
      <c r="D258" s="1071" t="s">
        <v>527</v>
      </c>
      <c r="E258" s="997">
        <v>250428</v>
      </c>
    </row>
    <row r="259" spans="1:5" ht="15.75" thickBot="1">
      <c r="A259" s="1137"/>
      <c r="B259" s="1143" t="s">
        <v>790</v>
      </c>
      <c r="C259" s="1142"/>
      <c r="D259" s="1073"/>
      <c r="E259" s="381">
        <v>0</v>
      </c>
    </row>
    <row r="260" spans="1:5" s="497" customFormat="1" ht="15.75" thickBot="1">
      <c r="A260" s="470">
        <v>853</v>
      </c>
      <c r="B260" s="494"/>
      <c r="C260" s="495" t="s">
        <v>752</v>
      </c>
      <c r="D260" s="496"/>
      <c r="E260" s="415">
        <f>E261+E265</f>
        <v>5899290</v>
      </c>
    </row>
    <row r="261" spans="1:5" ht="15.75" thickBot="1">
      <c r="A261" s="507"/>
      <c r="B261" s="483">
        <v>85324</v>
      </c>
      <c r="C261" s="485" t="s">
        <v>890</v>
      </c>
      <c r="D261" s="500"/>
      <c r="E261" s="376">
        <f>E262+E264</f>
        <v>258000</v>
      </c>
    </row>
    <row r="262" spans="1:5">
      <c r="A262" s="507"/>
      <c r="B262" s="1132" t="s">
        <v>787</v>
      </c>
      <c r="C262" s="1132"/>
      <c r="D262" s="486"/>
      <c r="E262" s="390">
        <f>E263</f>
        <v>258000</v>
      </c>
    </row>
    <row r="263" spans="1:5" ht="25.5">
      <c r="A263" s="507"/>
      <c r="B263" s="1059"/>
      <c r="C263" s="1056" t="s">
        <v>891</v>
      </c>
      <c r="D263" s="1071" t="s">
        <v>789</v>
      </c>
      <c r="E263" s="997">
        <v>258000</v>
      </c>
    </row>
    <row r="264" spans="1:5" ht="15.75" thickBot="1">
      <c r="A264" s="507"/>
      <c r="B264" s="1143" t="s">
        <v>790</v>
      </c>
      <c r="C264" s="1142"/>
      <c r="D264" s="1073"/>
      <c r="E264" s="381">
        <v>0</v>
      </c>
    </row>
    <row r="265" spans="1:5" s="501" customFormat="1" ht="15.75" thickBot="1">
      <c r="A265" s="1144"/>
      <c r="B265" s="483">
        <v>85332</v>
      </c>
      <c r="C265" s="484" t="s">
        <v>892</v>
      </c>
      <c r="D265" s="485"/>
      <c r="E265" s="376">
        <f>E266+E272</f>
        <v>5641290</v>
      </c>
    </row>
    <row r="266" spans="1:5">
      <c r="A266" s="1144"/>
      <c r="B266" s="1132" t="s">
        <v>787</v>
      </c>
      <c r="C266" s="1132"/>
      <c r="D266" s="486"/>
      <c r="E266" s="378">
        <f>SUM(E267:E271)</f>
        <v>5641290</v>
      </c>
    </row>
    <row r="267" spans="1:5" ht="54.75" customHeight="1">
      <c r="A267" s="1144"/>
      <c r="B267" s="1145"/>
      <c r="C267" s="508" t="s">
        <v>893</v>
      </c>
      <c r="D267" s="1074" t="s">
        <v>789</v>
      </c>
      <c r="E267" s="441">
        <v>76572</v>
      </c>
    </row>
    <row r="268" spans="1:5" ht="34.5" customHeight="1">
      <c r="A268" s="1144"/>
      <c r="B268" s="1145"/>
      <c r="C268" s="1052" t="s">
        <v>894</v>
      </c>
      <c r="D268" s="1075" t="s">
        <v>279</v>
      </c>
      <c r="E268" s="997">
        <v>505000</v>
      </c>
    </row>
    <row r="269" spans="1:5" ht="39.75" customHeight="1">
      <c r="A269" s="1144"/>
      <c r="B269" s="1145"/>
      <c r="C269" s="1052" t="s">
        <v>895</v>
      </c>
      <c r="D269" s="509" t="s">
        <v>466</v>
      </c>
      <c r="E269" s="997">
        <v>3924718</v>
      </c>
    </row>
    <row r="270" spans="1:5" ht="38.25">
      <c r="A270" s="1144"/>
      <c r="B270" s="1145"/>
      <c r="C270" s="1056" t="s">
        <v>792</v>
      </c>
      <c r="D270" s="1074" t="s">
        <v>833</v>
      </c>
      <c r="E270" s="997">
        <v>2000</v>
      </c>
    </row>
    <row r="271" spans="1:5" ht="15.75" customHeight="1">
      <c r="A271" s="1144"/>
      <c r="B271" s="1145"/>
      <c r="C271" s="1052" t="s">
        <v>896</v>
      </c>
      <c r="D271" s="1071" t="s">
        <v>815</v>
      </c>
      <c r="E271" s="997">
        <v>1133000</v>
      </c>
    </row>
    <row r="272" spans="1:5" ht="15.75" thickBot="1">
      <c r="A272" s="1144"/>
      <c r="B272" s="1135" t="s">
        <v>790</v>
      </c>
      <c r="C272" s="1135"/>
      <c r="D272" s="703"/>
      <c r="E272" s="1010">
        <v>0</v>
      </c>
    </row>
    <row r="273" spans="1:5" s="497" customFormat="1" ht="15.75" thickBot="1">
      <c r="A273" s="470">
        <v>900</v>
      </c>
      <c r="B273" s="494"/>
      <c r="C273" s="495" t="s">
        <v>897</v>
      </c>
      <c r="D273" s="496"/>
      <c r="E273" s="372">
        <f>E274+E278+E282</f>
        <v>612000</v>
      </c>
    </row>
    <row r="274" spans="1:5" s="501" customFormat="1" ht="26.25" thickBot="1">
      <c r="A274" s="1141"/>
      <c r="B274" s="483">
        <v>90019</v>
      </c>
      <c r="C274" s="484" t="s">
        <v>685</v>
      </c>
      <c r="D274" s="485"/>
      <c r="E274" s="376">
        <f>E275+E277</f>
        <v>600000</v>
      </c>
    </row>
    <row r="275" spans="1:5" ht="14.25" customHeight="1">
      <c r="A275" s="1141"/>
      <c r="B275" s="1132" t="s">
        <v>787</v>
      </c>
      <c r="C275" s="1132"/>
      <c r="D275" s="486"/>
      <c r="E275" s="390">
        <f>E276</f>
        <v>600000</v>
      </c>
    </row>
    <row r="276" spans="1:5" ht="17.25" customHeight="1">
      <c r="A276" s="1141"/>
      <c r="B276" s="487"/>
      <c r="C276" s="1056" t="s">
        <v>1073</v>
      </c>
      <c r="D276" s="1074" t="s">
        <v>801</v>
      </c>
      <c r="E276" s="997">
        <v>600000</v>
      </c>
    </row>
    <row r="277" spans="1:5" ht="15.75" thickBot="1">
      <c r="A277" s="1141"/>
      <c r="B277" s="1135" t="s">
        <v>790</v>
      </c>
      <c r="C277" s="1135"/>
      <c r="D277" s="703"/>
      <c r="E277" s="392">
        <v>0</v>
      </c>
    </row>
    <row r="278" spans="1:5" s="501" customFormat="1" ht="26.25" thickBot="1">
      <c r="A278" s="1141"/>
      <c r="B278" s="483">
        <v>90020</v>
      </c>
      <c r="C278" s="484" t="s">
        <v>687</v>
      </c>
      <c r="D278" s="485"/>
      <c r="E278" s="376">
        <f>E279+E281</f>
        <v>10000</v>
      </c>
    </row>
    <row r="279" spans="1:5">
      <c r="A279" s="1141"/>
      <c r="B279" s="1132" t="s">
        <v>787</v>
      </c>
      <c r="C279" s="1132"/>
      <c r="D279" s="486"/>
      <c r="E279" s="390">
        <f>E280</f>
        <v>10000</v>
      </c>
    </row>
    <row r="280" spans="1:5" ht="25.5">
      <c r="A280" s="1141"/>
      <c r="B280" s="1069"/>
      <c r="C280" s="1056" t="s">
        <v>898</v>
      </c>
      <c r="D280" s="1074" t="s">
        <v>899</v>
      </c>
      <c r="E280" s="997">
        <v>10000</v>
      </c>
    </row>
    <row r="281" spans="1:5" ht="15.75" thickBot="1">
      <c r="A281" s="1141"/>
      <c r="B281" s="1142" t="s">
        <v>790</v>
      </c>
      <c r="C281" s="1142"/>
      <c r="D281" s="1073"/>
      <c r="E281" s="510">
        <v>0</v>
      </c>
    </row>
    <row r="282" spans="1:5" ht="26.25" thickBot="1">
      <c r="A282" s="1141"/>
      <c r="B282" s="511">
        <v>90024</v>
      </c>
      <c r="C282" s="512" t="s">
        <v>900</v>
      </c>
      <c r="D282" s="513"/>
      <c r="E282" s="376">
        <f>E283+E285</f>
        <v>2000</v>
      </c>
    </row>
    <row r="283" spans="1:5">
      <c r="A283" s="1141"/>
      <c r="B283" s="1139" t="s">
        <v>787</v>
      </c>
      <c r="C283" s="1139"/>
      <c r="D283" s="514"/>
      <c r="E283" s="390">
        <f>E284</f>
        <v>2000</v>
      </c>
    </row>
    <row r="284" spans="1:5" ht="25.5">
      <c r="A284" s="1141"/>
      <c r="B284" s="1076"/>
      <c r="C284" s="1077" t="s">
        <v>901</v>
      </c>
      <c r="D284" s="1078" t="s">
        <v>899</v>
      </c>
      <c r="E284" s="997">
        <v>2000</v>
      </c>
    </row>
    <row r="285" spans="1:5" ht="15.75" thickBot="1">
      <c r="A285" s="1141"/>
      <c r="B285" s="1135" t="s">
        <v>790</v>
      </c>
      <c r="C285" s="1135"/>
      <c r="D285" s="703"/>
      <c r="E285" s="1024">
        <v>0</v>
      </c>
    </row>
    <row r="286" spans="1:5" s="497" customFormat="1" ht="15.75" thickBot="1">
      <c r="A286" s="515">
        <v>921</v>
      </c>
      <c r="B286" s="516"/>
      <c r="C286" s="517" t="s">
        <v>20</v>
      </c>
      <c r="D286" s="518"/>
      <c r="E286" s="415">
        <f>E287</f>
        <v>3177590</v>
      </c>
    </row>
    <row r="287" spans="1:5" s="501" customFormat="1" ht="15.75" thickBot="1">
      <c r="A287" s="1131"/>
      <c r="B287" s="483">
        <v>92116</v>
      </c>
      <c r="C287" s="484" t="s">
        <v>902</v>
      </c>
      <c r="D287" s="485"/>
      <c r="E287" s="376">
        <f>E288+E291</f>
        <v>3177590</v>
      </c>
    </row>
    <row r="288" spans="1:5">
      <c r="A288" s="1131"/>
      <c r="B288" s="1132" t="s">
        <v>787</v>
      </c>
      <c r="C288" s="1132"/>
      <c r="D288" s="486"/>
      <c r="E288" s="378">
        <f>SUM(E289:E290)</f>
        <v>3177590</v>
      </c>
    </row>
    <row r="289" spans="1:5" ht="38.25">
      <c r="A289" s="1131"/>
      <c r="B289" s="1133"/>
      <c r="C289" s="1056" t="s">
        <v>903</v>
      </c>
      <c r="D289" s="1057">
        <v>2310</v>
      </c>
      <c r="E289" s="442">
        <v>3105590</v>
      </c>
    </row>
    <row r="290" spans="1:5" ht="38.25">
      <c r="A290" s="1131"/>
      <c r="B290" s="1134"/>
      <c r="C290" s="1056" t="s">
        <v>904</v>
      </c>
      <c r="D290" s="1057">
        <v>2320</v>
      </c>
      <c r="E290" s="997">
        <v>72000</v>
      </c>
    </row>
    <row r="291" spans="1:5" ht="15.75" thickBot="1">
      <c r="A291" s="1131"/>
      <c r="B291" s="1135" t="s">
        <v>790</v>
      </c>
      <c r="C291" s="1135"/>
      <c r="D291" s="703"/>
      <c r="E291" s="392">
        <v>0</v>
      </c>
    </row>
    <row r="292" spans="1:5" s="497" customFormat="1" ht="30" customHeight="1" thickBot="1">
      <c r="A292" s="470">
        <v>925</v>
      </c>
      <c r="B292" s="519"/>
      <c r="C292" s="520" t="s">
        <v>905</v>
      </c>
      <c r="D292" s="521"/>
      <c r="E292" s="372">
        <f>E293</f>
        <v>752000</v>
      </c>
    </row>
    <row r="293" spans="1:5" s="501" customFormat="1" ht="15" customHeight="1" thickBot="1">
      <c r="A293" s="1136"/>
      <c r="B293" s="498">
        <v>92502</v>
      </c>
      <c r="C293" s="499" t="s">
        <v>718</v>
      </c>
      <c r="D293" s="500"/>
      <c r="E293" s="522">
        <f>E294+E296</f>
        <v>752000</v>
      </c>
    </row>
    <row r="294" spans="1:5">
      <c r="A294" s="1137"/>
      <c r="B294" s="1139" t="s">
        <v>787</v>
      </c>
      <c r="C294" s="1139"/>
      <c r="D294" s="486"/>
      <c r="E294" s="390">
        <f>E295</f>
        <v>752000</v>
      </c>
    </row>
    <row r="295" spans="1:5" ht="32.25" customHeight="1">
      <c r="A295" s="1137"/>
      <c r="B295" s="1079"/>
      <c r="C295" s="1067" t="s">
        <v>906</v>
      </c>
      <c r="D295" s="1080">
        <v>2230</v>
      </c>
      <c r="E295" s="997">
        <v>752000</v>
      </c>
    </row>
    <row r="296" spans="1:5" ht="15.75" thickBot="1">
      <c r="A296" s="1138"/>
      <c r="B296" s="1140" t="s">
        <v>790</v>
      </c>
      <c r="C296" s="1140"/>
      <c r="D296" s="1054"/>
      <c r="E296" s="1010">
        <v>0</v>
      </c>
    </row>
    <row r="297" spans="1:5" ht="33.75" customHeight="1" thickBot="1">
      <c r="A297" s="1120" t="s">
        <v>19</v>
      </c>
      <c r="B297" s="1121"/>
      <c r="C297" s="1121"/>
      <c r="D297" s="706"/>
      <c r="E297" s="523">
        <f>E10+E48+E56+E61+E92+E98+E106+E128+E134+E162+E167+E178+E218+E237+E246+E260+E273+E286+E292</f>
        <v>767954059</v>
      </c>
    </row>
    <row r="298" spans="1:5" ht="15" customHeight="1">
      <c r="A298" s="1122" t="s">
        <v>2</v>
      </c>
      <c r="B298" s="1123"/>
      <c r="C298" s="1124"/>
      <c r="D298" s="524"/>
      <c r="E298" s="525"/>
    </row>
    <row r="299" spans="1:5" ht="15" customHeight="1">
      <c r="A299" s="1125" t="s">
        <v>907</v>
      </c>
      <c r="B299" s="1126"/>
      <c r="C299" s="1127"/>
      <c r="D299" s="1081"/>
      <c r="E299" s="1082">
        <f>E12+E17+E23+E31+E36+E40+E45+E50+E58+E63+E70+E74+E78+E87+E94+E100+E108+E113+E118+E124+E130+E136+E140+E147+E152+E164+E169+E174+E180+E184+E188+E192+E196+E202+E206+E212+E220+E224+E228+E234+E239+E243+E248+E253+E257+E262+E266+E275+E279+E283+E288+E294</f>
        <v>613758152</v>
      </c>
    </row>
    <row r="300" spans="1:5" ht="15.75" thickBot="1">
      <c r="A300" s="1128" t="s">
        <v>908</v>
      </c>
      <c r="B300" s="1129"/>
      <c r="C300" s="1130"/>
      <c r="D300" s="526"/>
      <c r="E300" s="527">
        <f>E15+E21+E26+E34+E38+E41+E47+E53+E60+E68+E72+E82+E91+E95+E103+E111+E116+E122+E126+E132+E138+E145+E150+E157+E166+E172+E177+E182+E186+E190+E194+E198+E204+E208+E215+E222+E226+E232+E236+E241+E245+E251+E259+E264+E272+E277+E281+E285+E291+E296</f>
        <v>154195907</v>
      </c>
    </row>
    <row r="301" spans="1:5">
      <c r="E301" s="528"/>
    </row>
    <row r="302" spans="1:5">
      <c r="A302" s="360"/>
      <c r="B302" s="360"/>
      <c r="C302" s="360"/>
      <c r="D302" s="360"/>
      <c r="E302" s="528"/>
    </row>
    <row r="303" spans="1:5">
      <c r="A303" s="360"/>
      <c r="B303" s="360"/>
      <c r="C303" s="360"/>
      <c r="D303" s="360"/>
      <c r="E303" s="528"/>
    </row>
    <row r="304" spans="1:5">
      <c r="A304" s="360"/>
      <c r="B304" s="360"/>
      <c r="C304" s="360"/>
      <c r="D304" s="360"/>
      <c r="E304" s="528"/>
    </row>
    <row r="305" spans="1:5">
      <c r="A305" s="360"/>
      <c r="B305" s="360"/>
      <c r="C305" s="360"/>
      <c r="D305" s="360"/>
      <c r="E305" s="528"/>
    </row>
    <row r="306" spans="1:5">
      <c r="A306" s="360"/>
      <c r="B306" s="360"/>
      <c r="C306" s="360"/>
      <c r="D306" s="360"/>
      <c r="E306" s="528"/>
    </row>
    <row r="307" spans="1:5">
      <c r="A307" s="360"/>
      <c r="B307" s="360"/>
      <c r="C307" s="360"/>
      <c r="D307" s="360"/>
      <c r="E307" s="528"/>
    </row>
    <row r="308" spans="1:5">
      <c r="A308" s="360"/>
      <c r="B308" s="360"/>
      <c r="C308" s="360"/>
      <c r="D308" s="360"/>
      <c r="E308" s="528"/>
    </row>
    <row r="309" spans="1:5">
      <c r="A309" s="360"/>
      <c r="B309" s="360"/>
      <c r="C309" s="360"/>
      <c r="D309" s="360"/>
      <c r="E309" s="528"/>
    </row>
    <row r="310" spans="1:5">
      <c r="A310" s="360"/>
      <c r="B310" s="360"/>
      <c r="C310" s="360"/>
      <c r="D310" s="360"/>
      <c r="E310" s="528"/>
    </row>
    <row r="311" spans="1:5">
      <c r="A311" s="360"/>
      <c r="B311" s="360"/>
      <c r="C311" s="360"/>
      <c r="D311" s="360"/>
      <c r="E311" s="528"/>
    </row>
    <row r="312" spans="1:5">
      <c r="A312" s="360"/>
      <c r="B312" s="360"/>
      <c r="C312" s="360"/>
      <c r="D312" s="360"/>
      <c r="E312" s="528"/>
    </row>
    <row r="313" spans="1:5">
      <c r="A313" s="360"/>
      <c r="B313" s="360"/>
      <c r="C313" s="360"/>
      <c r="D313" s="360"/>
      <c r="E313" s="528"/>
    </row>
    <row r="314" spans="1:5">
      <c r="A314" s="360"/>
      <c r="B314" s="360"/>
      <c r="C314" s="360"/>
      <c r="D314" s="360"/>
      <c r="E314" s="528"/>
    </row>
    <row r="315" spans="1:5">
      <c r="A315" s="360"/>
      <c r="B315" s="360"/>
      <c r="C315" s="360"/>
      <c r="D315" s="360"/>
      <c r="E315" s="528"/>
    </row>
    <row r="316" spans="1:5">
      <c r="A316" s="360"/>
      <c r="B316" s="360"/>
      <c r="C316" s="360"/>
      <c r="D316" s="360"/>
      <c r="E316" s="528"/>
    </row>
    <row r="317" spans="1:5">
      <c r="A317" s="360"/>
      <c r="B317" s="360"/>
      <c r="C317" s="360"/>
      <c r="D317" s="360"/>
      <c r="E317" s="528"/>
    </row>
    <row r="318" spans="1:5">
      <c r="A318" s="360"/>
      <c r="B318" s="360"/>
      <c r="C318" s="360"/>
      <c r="D318" s="360"/>
      <c r="E318" s="528"/>
    </row>
    <row r="319" spans="1:5">
      <c r="A319" s="360"/>
      <c r="B319" s="360"/>
      <c r="C319" s="360"/>
      <c r="D319" s="360"/>
      <c r="E319" s="528"/>
    </row>
    <row r="320" spans="1:5">
      <c r="A320" s="360"/>
      <c r="B320" s="360"/>
      <c r="C320" s="360"/>
      <c r="D320" s="360"/>
      <c r="E320" s="528"/>
    </row>
    <row r="321" spans="1:5">
      <c r="A321" s="360"/>
      <c r="B321" s="360"/>
      <c r="C321" s="360"/>
      <c r="D321" s="360"/>
      <c r="E321" s="528"/>
    </row>
    <row r="322" spans="1:5">
      <c r="A322" s="360"/>
      <c r="B322" s="360"/>
      <c r="C322" s="360"/>
      <c r="D322" s="360"/>
      <c r="E322" s="528"/>
    </row>
    <row r="323" spans="1:5">
      <c r="A323" s="360"/>
      <c r="B323" s="360"/>
      <c r="C323" s="360"/>
      <c r="D323" s="360"/>
      <c r="E323" s="528"/>
    </row>
    <row r="324" spans="1:5">
      <c r="A324" s="360"/>
      <c r="B324" s="360"/>
      <c r="C324" s="360"/>
      <c r="D324" s="360"/>
      <c r="E324" s="528"/>
    </row>
    <row r="325" spans="1:5">
      <c r="A325" s="360"/>
      <c r="B325" s="360"/>
      <c r="C325" s="360"/>
      <c r="D325" s="360"/>
      <c r="E325" s="528"/>
    </row>
    <row r="326" spans="1:5">
      <c r="A326" s="360"/>
      <c r="B326" s="360"/>
      <c r="C326" s="360"/>
      <c r="D326" s="360"/>
      <c r="E326" s="528"/>
    </row>
    <row r="327" spans="1:5">
      <c r="A327" s="360"/>
      <c r="B327" s="360"/>
      <c r="C327" s="360"/>
      <c r="D327" s="360"/>
      <c r="E327" s="528"/>
    </row>
    <row r="328" spans="1:5">
      <c r="A328" s="360"/>
      <c r="B328" s="360"/>
      <c r="C328" s="360"/>
      <c r="D328" s="360"/>
      <c r="E328" s="528"/>
    </row>
    <row r="329" spans="1:5">
      <c r="A329" s="360"/>
      <c r="B329" s="360"/>
      <c r="C329" s="360"/>
      <c r="D329" s="360"/>
      <c r="E329" s="528"/>
    </row>
    <row r="330" spans="1:5">
      <c r="A330" s="360"/>
      <c r="B330" s="360"/>
      <c r="C330" s="360"/>
      <c r="D330" s="360"/>
      <c r="E330" s="528"/>
    </row>
    <row r="331" spans="1:5">
      <c r="A331" s="360"/>
      <c r="B331" s="360"/>
      <c r="C331" s="360"/>
      <c r="D331" s="360"/>
      <c r="E331" s="528"/>
    </row>
    <row r="332" spans="1:5">
      <c r="A332" s="360"/>
      <c r="B332" s="360"/>
      <c r="C332" s="360"/>
      <c r="D332" s="360"/>
      <c r="E332" s="528"/>
    </row>
    <row r="333" spans="1:5">
      <c r="A333" s="360"/>
      <c r="B333" s="360"/>
      <c r="C333" s="360"/>
      <c r="D333" s="360"/>
      <c r="E333" s="528"/>
    </row>
    <row r="334" spans="1:5">
      <c r="A334" s="360"/>
      <c r="B334" s="360"/>
      <c r="C334" s="360"/>
      <c r="D334" s="360"/>
      <c r="E334" s="528"/>
    </row>
    <row r="335" spans="1:5">
      <c r="A335" s="360"/>
      <c r="B335" s="360"/>
      <c r="C335" s="360"/>
      <c r="D335" s="360"/>
      <c r="E335" s="528"/>
    </row>
    <row r="336" spans="1:5">
      <c r="A336" s="360"/>
      <c r="B336" s="360"/>
      <c r="C336" s="360"/>
      <c r="D336" s="360"/>
      <c r="E336" s="528"/>
    </row>
    <row r="337" spans="1:5">
      <c r="A337" s="360"/>
      <c r="B337" s="360"/>
      <c r="C337" s="360"/>
      <c r="D337" s="360"/>
      <c r="E337" s="528"/>
    </row>
    <row r="338" spans="1:5">
      <c r="A338" s="360"/>
      <c r="B338" s="360"/>
      <c r="C338" s="360"/>
      <c r="D338" s="360"/>
      <c r="E338" s="528"/>
    </row>
    <row r="339" spans="1:5">
      <c r="A339" s="360"/>
      <c r="B339" s="360"/>
      <c r="C339" s="360"/>
      <c r="D339" s="360"/>
      <c r="E339" s="528"/>
    </row>
    <row r="340" spans="1:5">
      <c r="A340" s="360"/>
      <c r="B340" s="360"/>
      <c r="C340" s="360"/>
      <c r="D340" s="360"/>
      <c r="E340" s="528"/>
    </row>
    <row r="341" spans="1:5">
      <c r="A341" s="360"/>
      <c r="B341" s="360"/>
      <c r="C341" s="360"/>
      <c r="D341" s="360"/>
      <c r="E341" s="528"/>
    </row>
    <row r="342" spans="1:5">
      <c r="A342" s="360"/>
      <c r="B342" s="360"/>
      <c r="C342" s="360"/>
      <c r="D342" s="360"/>
      <c r="E342" s="528"/>
    </row>
    <row r="343" spans="1:5">
      <c r="A343" s="360"/>
      <c r="B343" s="360"/>
      <c r="C343" s="360"/>
      <c r="D343" s="360"/>
      <c r="E343" s="528"/>
    </row>
    <row r="344" spans="1:5">
      <c r="A344" s="360"/>
      <c r="B344" s="360"/>
      <c r="C344" s="360"/>
      <c r="D344" s="360"/>
      <c r="E344" s="528"/>
    </row>
    <row r="345" spans="1:5">
      <c r="A345" s="360"/>
      <c r="B345" s="360"/>
      <c r="C345" s="360"/>
      <c r="D345" s="360"/>
      <c r="E345" s="528"/>
    </row>
    <row r="346" spans="1:5">
      <c r="A346" s="360"/>
      <c r="B346" s="360"/>
      <c r="C346" s="360"/>
      <c r="D346" s="360"/>
      <c r="E346" s="528"/>
    </row>
    <row r="347" spans="1:5">
      <c r="A347" s="360"/>
      <c r="B347" s="360"/>
      <c r="C347" s="360"/>
      <c r="D347" s="360"/>
      <c r="E347" s="528"/>
    </row>
    <row r="348" spans="1:5">
      <c r="A348" s="360"/>
      <c r="B348" s="360"/>
      <c r="C348" s="360"/>
      <c r="D348" s="360"/>
      <c r="E348" s="528"/>
    </row>
    <row r="349" spans="1:5">
      <c r="A349" s="360"/>
      <c r="B349" s="360"/>
      <c r="C349" s="360"/>
      <c r="D349" s="360"/>
      <c r="E349" s="528"/>
    </row>
    <row r="350" spans="1:5">
      <c r="A350" s="360"/>
      <c r="B350" s="360"/>
      <c r="C350" s="360"/>
      <c r="D350" s="360"/>
      <c r="E350" s="528"/>
    </row>
    <row r="351" spans="1:5">
      <c r="A351" s="360"/>
      <c r="B351" s="360"/>
      <c r="C351" s="360"/>
      <c r="D351" s="360"/>
      <c r="E351" s="528"/>
    </row>
    <row r="352" spans="1:5">
      <c r="A352" s="360"/>
      <c r="B352" s="360"/>
      <c r="C352" s="360"/>
      <c r="D352" s="360"/>
      <c r="E352" s="528"/>
    </row>
    <row r="353" spans="1:5">
      <c r="A353" s="360"/>
      <c r="B353" s="360"/>
      <c r="C353" s="360"/>
      <c r="D353" s="360"/>
      <c r="E353" s="528"/>
    </row>
    <row r="354" spans="1:5">
      <c r="A354" s="360"/>
      <c r="B354" s="360"/>
      <c r="C354" s="360"/>
      <c r="D354" s="360"/>
      <c r="E354" s="528"/>
    </row>
    <row r="355" spans="1:5">
      <c r="A355" s="360"/>
      <c r="B355" s="360"/>
      <c r="C355" s="360"/>
      <c r="D355" s="360"/>
      <c r="E355" s="528"/>
    </row>
    <row r="356" spans="1:5">
      <c r="A356" s="360"/>
      <c r="B356" s="360"/>
      <c r="C356" s="360"/>
      <c r="D356" s="360"/>
      <c r="E356" s="528"/>
    </row>
    <row r="357" spans="1:5">
      <c r="A357" s="360"/>
      <c r="B357" s="360"/>
      <c r="C357" s="360"/>
      <c r="D357" s="360"/>
      <c r="E357" s="528"/>
    </row>
    <row r="358" spans="1:5">
      <c r="A358" s="360"/>
      <c r="B358" s="360"/>
      <c r="C358" s="360"/>
      <c r="D358" s="360"/>
      <c r="E358" s="528"/>
    </row>
    <row r="359" spans="1:5">
      <c r="A359" s="360"/>
      <c r="B359" s="360"/>
      <c r="C359" s="360"/>
      <c r="D359" s="360"/>
      <c r="E359" s="528"/>
    </row>
    <row r="360" spans="1:5">
      <c r="A360" s="360"/>
      <c r="B360" s="360"/>
      <c r="C360" s="360"/>
      <c r="D360" s="360"/>
      <c r="E360" s="528"/>
    </row>
    <row r="361" spans="1:5">
      <c r="A361" s="360"/>
      <c r="B361" s="360"/>
      <c r="C361" s="360"/>
      <c r="D361" s="360"/>
      <c r="E361" s="528"/>
    </row>
    <row r="362" spans="1:5">
      <c r="A362" s="360"/>
      <c r="B362" s="360"/>
      <c r="C362" s="360"/>
      <c r="D362" s="360"/>
      <c r="E362" s="528"/>
    </row>
    <row r="363" spans="1:5">
      <c r="A363" s="360"/>
      <c r="B363" s="360"/>
      <c r="C363" s="360"/>
      <c r="D363" s="360"/>
      <c r="E363" s="528"/>
    </row>
    <row r="364" spans="1:5">
      <c r="A364" s="360"/>
      <c r="B364" s="360"/>
      <c r="C364" s="360"/>
      <c r="D364" s="360"/>
      <c r="E364" s="528"/>
    </row>
    <row r="365" spans="1:5">
      <c r="A365" s="360"/>
      <c r="B365" s="360"/>
      <c r="C365" s="360"/>
      <c r="D365" s="360"/>
      <c r="E365" s="528"/>
    </row>
    <row r="366" spans="1:5">
      <c r="A366" s="360"/>
      <c r="B366" s="360"/>
      <c r="C366" s="360"/>
      <c r="D366" s="360"/>
      <c r="E366" s="528"/>
    </row>
    <row r="367" spans="1:5">
      <c r="A367" s="360"/>
      <c r="B367" s="360"/>
      <c r="C367" s="360"/>
      <c r="D367" s="360"/>
      <c r="E367" s="528"/>
    </row>
    <row r="368" spans="1:5">
      <c r="A368" s="360"/>
      <c r="B368" s="360"/>
      <c r="C368" s="360"/>
      <c r="D368" s="360"/>
      <c r="E368" s="528"/>
    </row>
    <row r="369" spans="1:5">
      <c r="A369" s="360"/>
      <c r="B369" s="360"/>
      <c r="C369" s="360"/>
      <c r="D369" s="360"/>
      <c r="E369" s="528"/>
    </row>
    <row r="370" spans="1:5">
      <c r="A370" s="360"/>
      <c r="B370" s="360"/>
      <c r="C370" s="360"/>
      <c r="D370" s="360"/>
      <c r="E370" s="528"/>
    </row>
    <row r="371" spans="1:5">
      <c r="A371" s="360"/>
      <c r="B371" s="360"/>
      <c r="C371" s="360"/>
      <c r="D371" s="360"/>
      <c r="E371" s="528"/>
    </row>
    <row r="372" spans="1:5">
      <c r="A372" s="360"/>
      <c r="B372" s="360"/>
      <c r="C372" s="360"/>
      <c r="D372" s="360"/>
      <c r="E372" s="528"/>
    </row>
    <row r="373" spans="1:5">
      <c r="A373" s="360"/>
      <c r="B373" s="360"/>
      <c r="C373" s="360"/>
      <c r="D373" s="360"/>
      <c r="E373" s="528"/>
    </row>
    <row r="374" spans="1:5">
      <c r="A374" s="360"/>
      <c r="B374" s="360"/>
      <c r="C374" s="360"/>
      <c r="D374" s="360"/>
      <c r="E374" s="528"/>
    </row>
    <row r="375" spans="1:5">
      <c r="A375" s="360"/>
      <c r="B375" s="360"/>
      <c r="C375" s="360"/>
      <c r="D375" s="360"/>
      <c r="E375" s="528"/>
    </row>
    <row r="376" spans="1:5">
      <c r="A376" s="360"/>
      <c r="B376" s="360"/>
      <c r="C376" s="360"/>
      <c r="D376" s="360"/>
      <c r="E376" s="528"/>
    </row>
    <row r="377" spans="1:5">
      <c r="A377" s="360"/>
      <c r="B377" s="360"/>
      <c r="C377" s="360"/>
      <c r="D377" s="360"/>
      <c r="E377" s="528"/>
    </row>
    <row r="378" spans="1:5">
      <c r="A378" s="360"/>
      <c r="B378" s="360"/>
      <c r="C378" s="360"/>
      <c r="D378" s="360"/>
      <c r="E378" s="528"/>
    </row>
    <row r="379" spans="1:5">
      <c r="A379" s="360"/>
      <c r="B379" s="360"/>
      <c r="C379" s="360"/>
      <c r="D379" s="360"/>
      <c r="E379" s="528"/>
    </row>
    <row r="380" spans="1:5">
      <c r="A380" s="360"/>
      <c r="B380" s="360"/>
      <c r="C380" s="360"/>
      <c r="D380" s="360"/>
      <c r="E380" s="528"/>
    </row>
    <row r="381" spans="1:5">
      <c r="A381" s="360"/>
      <c r="B381" s="360"/>
      <c r="C381" s="360"/>
      <c r="D381" s="360"/>
      <c r="E381" s="528"/>
    </row>
    <row r="382" spans="1:5">
      <c r="A382" s="360"/>
      <c r="B382" s="360"/>
      <c r="C382" s="360"/>
      <c r="D382" s="360"/>
      <c r="E382" s="528"/>
    </row>
    <row r="383" spans="1:5">
      <c r="A383" s="360"/>
      <c r="B383" s="360"/>
      <c r="C383" s="360"/>
      <c r="D383" s="360"/>
      <c r="E383" s="528"/>
    </row>
    <row r="384" spans="1:5">
      <c r="A384" s="360"/>
      <c r="B384" s="360"/>
      <c r="C384" s="360"/>
      <c r="D384" s="360"/>
      <c r="E384" s="528"/>
    </row>
    <row r="385" spans="1:5">
      <c r="A385" s="360"/>
      <c r="B385" s="360"/>
      <c r="C385" s="360"/>
      <c r="D385" s="360"/>
      <c r="E385" s="528"/>
    </row>
    <row r="386" spans="1:5">
      <c r="A386" s="360"/>
      <c r="B386" s="360"/>
      <c r="C386" s="360"/>
      <c r="D386" s="360"/>
      <c r="E386" s="528"/>
    </row>
    <row r="387" spans="1:5">
      <c r="A387" s="360"/>
      <c r="B387" s="360"/>
      <c r="C387" s="360"/>
      <c r="D387" s="360"/>
      <c r="E387" s="528"/>
    </row>
    <row r="388" spans="1:5">
      <c r="A388" s="360"/>
      <c r="B388" s="360"/>
      <c r="C388" s="360"/>
      <c r="D388" s="360"/>
      <c r="E388" s="528"/>
    </row>
    <row r="389" spans="1:5">
      <c r="A389" s="360"/>
      <c r="B389" s="360"/>
      <c r="C389" s="360"/>
      <c r="D389" s="360"/>
      <c r="E389" s="528"/>
    </row>
    <row r="390" spans="1:5">
      <c r="A390" s="360"/>
      <c r="B390" s="360"/>
      <c r="C390" s="360"/>
      <c r="D390" s="360"/>
      <c r="E390" s="528"/>
    </row>
    <row r="391" spans="1:5">
      <c r="A391" s="360"/>
      <c r="B391" s="360"/>
      <c r="C391" s="360"/>
      <c r="D391" s="360"/>
      <c r="E391" s="528"/>
    </row>
    <row r="392" spans="1:5">
      <c r="A392" s="360"/>
      <c r="B392" s="360"/>
      <c r="C392" s="360"/>
      <c r="D392" s="360"/>
      <c r="E392" s="528"/>
    </row>
    <row r="393" spans="1:5">
      <c r="A393" s="360"/>
      <c r="B393" s="360"/>
      <c r="C393" s="360"/>
      <c r="D393" s="360"/>
      <c r="E393" s="528"/>
    </row>
    <row r="394" spans="1:5">
      <c r="A394" s="360"/>
      <c r="B394" s="360"/>
      <c r="C394" s="360"/>
      <c r="D394" s="360"/>
      <c r="E394" s="528"/>
    </row>
    <row r="395" spans="1:5">
      <c r="A395" s="360"/>
      <c r="B395" s="360"/>
      <c r="C395" s="360"/>
      <c r="D395" s="360"/>
      <c r="E395" s="528"/>
    </row>
    <row r="396" spans="1:5">
      <c r="A396" s="360"/>
      <c r="B396" s="360"/>
      <c r="C396" s="360"/>
      <c r="D396" s="360"/>
      <c r="E396" s="528"/>
    </row>
    <row r="397" spans="1:5">
      <c r="A397" s="360"/>
      <c r="B397" s="360"/>
      <c r="C397" s="360"/>
      <c r="D397" s="360"/>
      <c r="E397" s="528"/>
    </row>
    <row r="398" spans="1:5">
      <c r="A398" s="360"/>
      <c r="B398" s="360"/>
      <c r="C398" s="360"/>
      <c r="D398" s="360"/>
      <c r="E398" s="528"/>
    </row>
    <row r="399" spans="1:5">
      <c r="A399" s="360"/>
      <c r="B399" s="360"/>
      <c r="C399" s="360"/>
      <c r="D399" s="360"/>
      <c r="E399" s="528"/>
    </row>
    <row r="400" spans="1:5">
      <c r="A400" s="360"/>
      <c r="B400" s="360"/>
      <c r="C400" s="360"/>
      <c r="D400" s="360"/>
      <c r="E400" s="528"/>
    </row>
    <row r="401" spans="1:5">
      <c r="A401" s="360"/>
      <c r="B401" s="360"/>
      <c r="C401" s="360"/>
      <c r="D401" s="360"/>
      <c r="E401" s="528"/>
    </row>
    <row r="402" spans="1:5">
      <c r="A402" s="360"/>
      <c r="B402" s="360"/>
      <c r="C402" s="360"/>
      <c r="D402" s="360"/>
      <c r="E402" s="528"/>
    </row>
    <row r="403" spans="1:5">
      <c r="A403" s="360"/>
      <c r="B403" s="360"/>
      <c r="C403" s="360"/>
      <c r="D403" s="360"/>
      <c r="E403" s="528"/>
    </row>
    <row r="404" spans="1:5">
      <c r="A404" s="360"/>
      <c r="B404" s="360"/>
      <c r="C404" s="360"/>
      <c r="D404" s="360"/>
      <c r="E404" s="528"/>
    </row>
    <row r="405" spans="1:5">
      <c r="A405" s="360"/>
      <c r="B405" s="360"/>
      <c r="C405" s="360"/>
      <c r="D405" s="360"/>
      <c r="E405" s="528"/>
    </row>
    <row r="406" spans="1:5">
      <c r="A406" s="360"/>
      <c r="B406" s="360"/>
      <c r="C406" s="360"/>
      <c r="D406" s="360"/>
      <c r="E406" s="528"/>
    </row>
    <row r="407" spans="1:5">
      <c r="A407" s="360"/>
      <c r="B407" s="360"/>
      <c r="C407" s="360"/>
      <c r="D407" s="360"/>
      <c r="E407" s="528"/>
    </row>
    <row r="408" spans="1:5">
      <c r="A408" s="360"/>
      <c r="B408" s="360"/>
      <c r="C408" s="360"/>
      <c r="D408" s="360"/>
      <c r="E408" s="528"/>
    </row>
    <row r="409" spans="1:5">
      <c r="A409" s="360"/>
      <c r="B409" s="360"/>
      <c r="C409" s="360"/>
      <c r="D409" s="360"/>
      <c r="E409" s="528"/>
    </row>
    <row r="410" spans="1:5">
      <c r="A410" s="360"/>
      <c r="B410" s="360"/>
      <c r="C410" s="360"/>
      <c r="D410" s="360"/>
      <c r="E410" s="528"/>
    </row>
    <row r="411" spans="1:5">
      <c r="A411" s="360"/>
      <c r="B411" s="360"/>
      <c r="C411" s="360"/>
      <c r="D411" s="360"/>
      <c r="E411" s="528"/>
    </row>
    <row r="412" spans="1:5">
      <c r="A412" s="360"/>
      <c r="B412" s="360"/>
      <c r="C412" s="360"/>
      <c r="D412" s="360"/>
      <c r="E412" s="528"/>
    </row>
    <row r="413" spans="1:5">
      <c r="A413" s="360"/>
      <c r="B413" s="360"/>
      <c r="C413" s="360"/>
      <c r="D413" s="360"/>
      <c r="E413" s="528"/>
    </row>
    <row r="414" spans="1:5">
      <c r="A414" s="360"/>
      <c r="B414" s="360"/>
      <c r="C414" s="360"/>
      <c r="D414" s="360"/>
      <c r="E414" s="528"/>
    </row>
    <row r="415" spans="1:5">
      <c r="A415" s="360"/>
      <c r="B415" s="360"/>
      <c r="C415" s="360"/>
      <c r="D415" s="360"/>
      <c r="E415" s="528"/>
    </row>
    <row r="416" spans="1:5">
      <c r="A416" s="360"/>
      <c r="B416" s="360"/>
      <c r="C416" s="360"/>
      <c r="D416" s="360"/>
      <c r="E416" s="528"/>
    </row>
    <row r="417" spans="1:5">
      <c r="A417" s="360"/>
      <c r="B417" s="360"/>
      <c r="C417" s="360"/>
      <c r="D417" s="360"/>
      <c r="E417" s="528"/>
    </row>
    <row r="418" spans="1:5">
      <c r="A418" s="360"/>
      <c r="B418" s="360"/>
      <c r="C418" s="360"/>
      <c r="D418" s="360"/>
      <c r="E418" s="528"/>
    </row>
    <row r="419" spans="1:5">
      <c r="A419" s="360"/>
      <c r="B419" s="360"/>
      <c r="C419" s="360"/>
      <c r="D419" s="360"/>
      <c r="E419" s="528"/>
    </row>
    <row r="420" spans="1:5">
      <c r="A420" s="360"/>
      <c r="B420" s="360"/>
      <c r="C420" s="360"/>
      <c r="D420" s="360"/>
      <c r="E420" s="528"/>
    </row>
    <row r="421" spans="1:5">
      <c r="A421" s="360"/>
      <c r="B421" s="360"/>
      <c r="C421" s="360"/>
      <c r="D421" s="360"/>
      <c r="E421" s="528"/>
    </row>
    <row r="422" spans="1:5">
      <c r="A422" s="360"/>
      <c r="B422" s="360"/>
      <c r="C422" s="360"/>
      <c r="D422" s="360"/>
      <c r="E422" s="528"/>
    </row>
    <row r="423" spans="1:5">
      <c r="A423" s="360"/>
      <c r="B423" s="360"/>
      <c r="C423" s="360"/>
      <c r="D423" s="360"/>
      <c r="E423" s="528"/>
    </row>
    <row r="424" spans="1:5">
      <c r="A424" s="360"/>
      <c r="B424" s="360"/>
      <c r="C424" s="360"/>
      <c r="D424" s="360"/>
      <c r="E424" s="528"/>
    </row>
    <row r="425" spans="1:5">
      <c r="A425" s="360"/>
      <c r="B425" s="360"/>
      <c r="C425" s="360"/>
      <c r="D425" s="360"/>
      <c r="E425" s="528"/>
    </row>
    <row r="426" spans="1:5">
      <c r="A426" s="360"/>
      <c r="B426" s="360"/>
      <c r="C426" s="360"/>
      <c r="D426" s="360"/>
      <c r="E426" s="528"/>
    </row>
    <row r="427" spans="1:5">
      <c r="A427" s="360"/>
      <c r="B427" s="360"/>
      <c r="C427" s="360"/>
      <c r="D427" s="360"/>
      <c r="E427" s="528"/>
    </row>
    <row r="428" spans="1:5">
      <c r="A428" s="360"/>
      <c r="B428" s="360"/>
      <c r="C428" s="360"/>
      <c r="D428" s="360"/>
      <c r="E428" s="528"/>
    </row>
    <row r="429" spans="1:5">
      <c r="A429" s="360"/>
      <c r="B429" s="360"/>
      <c r="C429" s="360"/>
      <c r="D429" s="360"/>
      <c r="E429" s="528"/>
    </row>
    <row r="430" spans="1:5">
      <c r="A430" s="360"/>
      <c r="B430" s="360"/>
      <c r="C430" s="360"/>
      <c r="D430" s="360"/>
      <c r="E430" s="528"/>
    </row>
    <row r="431" spans="1:5">
      <c r="A431" s="360"/>
      <c r="B431" s="360"/>
      <c r="C431" s="360"/>
      <c r="D431" s="360"/>
      <c r="E431" s="528"/>
    </row>
    <row r="432" spans="1:5">
      <c r="A432" s="360"/>
      <c r="B432" s="360"/>
      <c r="C432" s="360"/>
      <c r="D432" s="360"/>
      <c r="E432" s="528"/>
    </row>
    <row r="433" spans="1:5">
      <c r="A433" s="360"/>
      <c r="B433" s="360"/>
      <c r="C433" s="360"/>
      <c r="D433" s="360"/>
      <c r="E433" s="528"/>
    </row>
    <row r="434" spans="1:5">
      <c r="A434" s="360"/>
      <c r="B434" s="360"/>
      <c r="C434" s="360"/>
      <c r="D434" s="360"/>
      <c r="E434" s="528"/>
    </row>
    <row r="435" spans="1:5">
      <c r="A435" s="360"/>
      <c r="B435" s="360"/>
      <c r="C435" s="360"/>
      <c r="D435" s="360"/>
      <c r="E435" s="528"/>
    </row>
    <row r="436" spans="1:5">
      <c r="A436" s="360"/>
      <c r="B436" s="360"/>
      <c r="C436" s="360"/>
      <c r="D436" s="360"/>
      <c r="E436" s="528"/>
    </row>
    <row r="437" spans="1:5">
      <c r="A437" s="360"/>
      <c r="B437" s="360"/>
      <c r="C437" s="360"/>
      <c r="D437" s="360"/>
      <c r="E437" s="528"/>
    </row>
    <row r="438" spans="1:5">
      <c r="A438" s="360"/>
      <c r="B438" s="360"/>
      <c r="C438" s="360"/>
      <c r="D438" s="360"/>
      <c r="E438" s="528"/>
    </row>
    <row r="439" spans="1:5">
      <c r="A439" s="360"/>
      <c r="B439" s="360"/>
      <c r="C439" s="360"/>
      <c r="D439" s="360"/>
      <c r="E439" s="528"/>
    </row>
    <row r="440" spans="1:5">
      <c r="A440" s="360"/>
      <c r="B440" s="360"/>
      <c r="C440" s="360"/>
      <c r="D440" s="360"/>
      <c r="E440" s="528"/>
    </row>
    <row r="441" spans="1:5">
      <c r="A441" s="360"/>
      <c r="B441" s="360"/>
      <c r="C441" s="360"/>
      <c r="D441" s="360"/>
      <c r="E441" s="528"/>
    </row>
    <row r="442" spans="1:5">
      <c r="A442" s="360"/>
      <c r="B442" s="360"/>
      <c r="C442" s="360"/>
      <c r="D442" s="360"/>
      <c r="E442" s="528"/>
    </row>
    <row r="443" spans="1:5">
      <c r="A443" s="360"/>
      <c r="B443" s="360"/>
      <c r="C443" s="360"/>
      <c r="D443" s="360"/>
      <c r="E443" s="528"/>
    </row>
    <row r="444" spans="1:5">
      <c r="A444" s="360"/>
      <c r="B444" s="360"/>
      <c r="C444" s="360"/>
      <c r="D444" s="360"/>
      <c r="E444" s="528"/>
    </row>
    <row r="445" spans="1:5">
      <c r="A445" s="360"/>
      <c r="B445" s="360"/>
      <c r="C445" s="360"/>
      <c r="D445" s="360"/>
      <c r="E445" s="528"/>
    </row>
    <row r="446" spans="1:5">
      <c r="A446" s="360"/>
      <c r="B446" s="360"/>
      <c r="C446" s="360"/>
      <c r="D446" s="360"/>
      <c r="E446" s="528"/>
    </row>
    <row r="447" spans="1:5">
      <c r="A447" s="360"/>
      <c r="B447" s="360"/>
      <c r="C447" s="360"/>
      <c r="D447" s="360"/>
      <c r="E447" s="528"/>
    </row>
    <row r="448" spans="1:5">
      <c r="A448" s="360"/>
      <c r="B448" s="360"/>
      <c r="C448" s="360"/>
      <c r="D448" s="360"/>
      <c r="E448" s="528"/>
    </row>
    <row r="449" spans="1:5">
      <c r="A449" s="360"/>
      <c r="B449" s="360"/>
      <c r="C449" s="360"/>
      <c r="D449" s="360"/>
      <c r="E449" s="528"/>
    </row>
    <row r="450" spans="1:5">
      <c r="A450" s="360"/>
      <c r="B450" s="360"/>
      <c r="C450" s="360"/>
      <c r="D450" s="360"/>
      <c r="E450" s="528"/>
    </row>
    <row r="451" spans="1:5">
      <c r="A451" s="360"/>
      <c r="B451" s="360"/>
      <c r="C451" s="360"/>
      <c r="D451" s="360"/>
      <c r="E451" s="528"/>
    </row>
    <row r="452" spans="1:5">
      <c r="A452" s="360"/>
      <c r="B452" s="360"/>
      <c r="C452" s="360"/>
      <c r="D452" s="360"/>
      <c r="E452" s="528"/>
    </row>
    <row r="453" spans="1:5">
      <c r="A453" s="360"/>
      <c r="B453" s="360"/>
      <c r="C453" s="360"/>
      <c r="D453" s="360"/>
      <c r="E453" s="528"/>
    </row>
    <row r="454" spans="1:5">
      <c r="A454" s="360"/>
      <c r="B454" s="360"/>
      <c r="C454" s="360"/>
      <c r="D454" s="360"/>
      <c r="E454" s="528"/>
    </row>
    <row r="455" spans="1:5">
      <c r="A455" s="360"/>
      <c r="B455" s="360"/>
      <c r="C455" s="360"/>
      <c r="D455" s="360"/>
      <c r="E455" s="528"/>
    </row>
    <row r="456" spans="1:5">
      <c r="A456" s="360"/>
      <c r="B456" s="360"/>
      <c r="C456" s="360"/>
      <c r="D456" s="360"/>
      <c r="E456" s="528"/>
    </row>
    <row r="457" spans="1:5">
      <c r="A457" s="360"/>
      <c r="B457" s="360"/>
      <c r="C457" s="360"/>
      <c r="D457" s="360"/>
      <c r="E457" s="528"/>
    </row>
    <row r="458" spans="1:5">
      <c r="A458" s="360"/>
      <c r="B458" s="360"/>
      <c r="C458" s="360"/>
      <c r="D458" s="360"/>
      <c r="E458" s="528"/>
    </row>
    <row r="459" spans="1:5">
      <c r="A459" s="360"/>
      <c r="B459" s="360"/>
      <c r="C459" s="360"/>
      <c r="D459" s="360"/>
      <c r="E459" s="528"/>
    </row>
    <row r="460" spans="1:5">
      <c r="A460" s="360"/>
      <c r="B460" s="360"/>
      <c r="C460" s="360"/>
      <c r="D460" s="360"/>
      <c r="E460" s="528"/>
    </row>
    <row r="461" spans="1:5">
      <c r="A461" s="360"/>
      <c r="B461" s="360"/>
      <c r="C461" s="360"/>
      <c r="D461" s="360"/>
      <c r="E461" s="528"/>
    </row>
    <row r="462" spans="1:5">
      <c r="A462" s="360"/>
      <c r="B462" s="360"/>
      <c r="C462" s="360"/>
      <c r="D462" s="360"/>
      <c r="E462" s="528"/>
    </row>
    <row r="463" spans="1:5">
      <c r="A463" s="360"/>
      <c r="B463" s="360"/>
      <c r="C463" s="360"/>
      <c r="D463" s="360"/>
      <c r="E463" s="528"/>
    </row>
    <row r="464" spans="1:5">
      <c r="A464" s="360"/>
      <c r="B464" s="360"/>
      <c r="C464" s="360"/>
      <c r="D464" s="360"/>
      <c r="E464" s="528"/>
    </row>
    <row r="465" spans="1:5">
      <c r="A465" s="360"/>
      <c r="B465" s="360"/>
      <c r="C465" s="360"/>
      <c r="D465" s="360"/>
      <c r="E465" s="528"/>
    </row>
    <row r="466" spans="1:5">
      <c r="A466" s="360"/>
      <c r="B466" s="360"/>
      <c r="C466" s="360"/>
      <c r="D466" s="360"/>
      <c r="E466" s="528"/>
    </row>
    <row r="467" spans="1:5">
      <c r="A467" s="360"/>
      <c r="B467" s="360"/>
      <c r="C467" s="360"/>
      <c r="D467" s="360"/>
      <c r="E467" s="528"/>
    </row>
    <row r="468" spans="1:5">
      <c r="A468" s="360"/>
      <c r="B468" s="360"/>
      <c r="C468" s="360"/>
      <c r="D468" s="360"/>
      <c r="E468" s="528"/>
    </row>
    <row r="469" spans="1:5">
      <c r="A469" s="360"/>
      <c r="B469" s="360"/>
      <c r="C469" s="360"/>
      <c r="D469" s="360"/>
      <c r="E469" s="528"/>
    </row>
    <row r="470" spans="1:5">
      <c r="A470" s="360"/>
      <c r="B470" s="360"/>
      <c r="C470" s="360"/>
      <c r="D470" s="360"/>
      <c r="E470" s="528"/>
    </row>
    <row r="471" spans="1:5">
      <c r="A471" s="360"/>
      <c r="B471" s="360"/>
      <c r="C471" s="360"/>
      <c r="D471" s="360"/>
      <c r="E471" s="528"/>
    </row>
    <row r="472" spans="1:5">
      <c r="A472" s="360"/>
      <c r="B472" s="360"/>
      <c r="C472" s="360"/>
      <c r="D472" s="360"/>
      <c r="E472" s="528"/>
    </row>
    <row r="473" spans="1:5">
      <c r="A473" s="360"/>
      <c r="B473" s="360"/>
      <c r="C473" s="360"/>
      <c r="D473" s="360"/>
      <c r="E473" s="528"/>
    </row>
    <row r="474" spans="1:5">
      <c r="A474" s="360"/>
      <c r="B474" s="360"/>
      <c r="C474" s="360"/>
      <c r="D474" s="360"/>
      <c r="E474" s="528"/>
    </row>
    <row r="475" spans="1:5">
      <c r="A475" s="360"/>
      <c r="B475" s="360"/>
      <c r="C475" s="360"/>
      <c r="D475" s="360"/>
      <c r="E475" s="528"/>
    </row>
    <row r="476" spans="1:5">
      <c r="A476" s="360"/>
      <c r="B476" s="360"/>
      <c r="C476" s="360"/>
      <c r="D476" s="360"/>
      <c r="E476" s="528"/>
    </row>
    <row r="477" spans="1:5">
      <c r="A477" s="360"/>
      <c r="B477" s="360"/>
      <c r="C477" s="360"/>
      <c r="D477" s="360"/>
      <c r="E477" s="528"/>
    </row>
    <row r="478" spans="1:5">
      <c r="A478" s="360"/>
      <c r="B478" s="360"/>
      <c r="C478" s="360"/>
      <c r="D478" s="360"/>
      <c r="E478" s="528"/>
    </row>
    <row r="479" spans="1:5">
      <c r="A479" s="360"/>
      <c r="B479" s="360"/>
      <c r="C479" s="360"/>
      <c r="D479" s="360"/>
      <c r="E479" s="528"/>
    </row>
    <row r="480" spans="1:5">
      <c r="A480" s="360"/>
      <c r="B480" s="360"/>
      <c r="C480" s="360"/>
      <c r="D480" s="360"/>
      <c r="E480" s="528"/>
    </row>
    <row r="481" spans="1:5">
      <c r="A481" s="360"/>
      <c r="B481" s="360"/>
      <c r="C481" s="360"/>
      <c r="D481" s="360"/>
      <c r="E481" s="528"/>
    </row>
    <row r="482" spans="1:5">
      <c r="A482" s="360"/>
      <c r="B482" s="360"/>
      <c r="C482" s="360"/>
      <c r="D482" s="360"/>
      <c r="E482" s="528"/>
    </row>
    <row r="483" spans="1:5">
      <c r="A483" s="360"/>
      <c r="B483" s="360"/>
      <c r="C483" s="360"/>
      <c r="D483" s="360"/>
      <c r="E483" s="528"/>
    </row>
    <row r="484" spans="1:5">
      <c r="A484" s="360"/>
      <c r="B484" s="360"/>
      <c r="C484" s="360"/>
      <c r="D484" s="360"/>
      <c r="E484" s="528"/>
    </row>
    <row r="485" spans="1:5">
      <c r="A485" s="360"/>
      <c r="B485" s="360"/>
      <c r="C485" s="360"/>
      <c r="D485" s="360"/>
      <c r="E485" s="528"/>
    </row>
    <row r="486" spans="1:5">
      <c r="A486" s="360"/>
      <c r="B486" s="360"/>
      <c r="C486" s="360"/>
      <c r="D486" s="360"/>
      <c r="E486" s="528"/>
    </row>
    <row r="487" spans="1:5">
      <c r="A487" s="360"/>
      <c r="B487" s="360"/>
      <c r="C487" s="360"/>
      <c r="D487" s="360"/>
      <c r="E487" s="528"/>
    </row>
    <row r="488" spans="1:5">
      <c r="A488" s="360"/>
      <c r="B488" s="360"/>
      <c r="C488" s="360"/>
      <c r="D488" s="360"/>
      <c r="E488" s="528"/>
    </row>
    <row r="489" spans="1:5">
      <c r="A489" s="360"/>
      <c r="B489" s="360"/>
      <c r="C489" s="360"/>
      <c r="D489" s="360"/>
      <c r="E489" s="528"/>
    </row>
    <row r="490" spans="1:5">
      <c r="A490" s="360"/>
      <c r="B490" s="360"/>
      <c r="C490" s="360"/>
      <c r="D490" s="360"/>
      <c r="E490" s="528"/>
    </row>
    <row r="491" spans="1:5">
      <c r="A491" s="360"/>
      <c r="B491" s="360"/>
      <c r="C491" s="360"/>
      <c r="D491" s="360"/>
      <c r="E491" s="528"/>
    </row>
    <row r="492" spans="1:5">
      <c r="A492" s="360"/>
      <c r="B492" s="360"/>
      <c r="C492" s="360"/>
      <c r="D492" s="360"/>
      <c r="E492" s="528"/>
    </row>
    <row r="493" spans="1:5">
      <c r="A493" s="360"/>
      <c r="B493" s="360"/>
      <c r="C493" s="360"/>
      <c r="D493" s="360"/>
      <c r="E493" s="528"/>
    </row>
    <row r="494" spans="1:5">
      <c r="A494" s="360"/>
      <c r="B494" s="360"/>
      <c r="C494" s="360"/>
      <c r="D494" s="360"/>
      <c r="E494" s="528"/>
    </row>
    <row r="495" spans="1:5">
      <c r="A495" s="360"/>
      <c r="B495" s="360"/>
      <c r="C495" s="360"/>
      <c r="D495" s="360"/>
      <c r="E495" s="528"/>
    </row>
    <row r="496" spans="1:5">
      <c r="A496" s="360"/>
      <c r="B496" s="360"/>
      <c r="C496" s="360"/>
      <c r="D496" s="360"/>
      <c r="E496" s="528"/>
    </row>
    <row r="497" spans="1:5">
      <c r="A497" s="360"/>
      <c r="B497" s="360"/>
      <c r="C497" s="360"/>
      <c r="D497" s="360"/>
      <c r="E497" s="528"/>
    </row>
    <row r="498" spans="1:5">
      <c r="A498" s="360"/>
      <c r="B498" s="360"/>
      <c r="C498" s="360"/>
      <c r="D498" s="360"/>
      <c r="E498" s="528"/>
    </row>
    <row r="499" spans="1:5">
      <c r="A499" s="360"/>
      <c r="B499" s="360"/>
      <c r="C499" s="360"/>
      <c r="D499" s="360"/>
      <c r="E499" s="528"/>
    </row>
    <row r="500" spans="1:5">
      <c r="A500" s="360"/>
      <c r="B500" s="360"/>
      <c r="C500" s="360"/>
      <c r="D500" s="360"/>
      <c r="E500" s="528"/>
    </row>
    <row r="501" spans="1:5">
      <c r="A501" s="360"/>
      <c r="B501" s="360"/>
      <c r="C501" s="360"/>
      <c r="D501" s="360"/>
      <c r="E501" s="528"/>
    </row>
    <row r="502" spans="1:5">
      <c r="A502" s="360"/>
      <c r="B502" s="360"/>
      <c r="C502" s="360"/>
      <c r="D502" s="360"/>
      <c r="E502" s="528"/>
    </row>
    <row r="503" spans="1:5">
      <c r="A503" s="360"/>
      <c r="B503" s="360"/>
      <c r="C503" s="360"/>
      <c r="D503" s="360"/>
      <c r="E503" s="528"/>
    </row>
    <row r="504" spans="1:5">
      <c r="A504" s="360"/>
      <c r="B504" s="360"/>
      <c r="C504" s="360"/>
      <c r="D504" s="360"/>
      <c r="E504" s="528"/>
    </row>
    <row r="505" spans="1:5">
      <c r="A505" s="360"/>
      <c r="B505" s="360"/>
      <c r="C505" s="360"/>
      <c r="D505" s="360"/>
      <c r="E505" s="528"/>
    </row>
    <row r="506" spans="1:5">
      <c r="A506" s="360"/>
      <c r="B506" s="360"/>
      <c r="C506" s="360"/>
      <c r="D506" s="360"/>
      <c r="E506" s="528"/>
    </row>
    <row r="507" spans="1:5">
      <c r="A507" s="360"/>
      <c r="B507" s="360"/>
      <c r="C507" s="360"/>
      <c r="D507" s="360"/>
      <c r="E507" s="528"/>
    </row>
    <row r="508" spans="1:5">
      <c r="A508" s="360"/>
      <c r="B508" s="360"/>
      <c r="C508" s="360"/>
      <c r="D508" s="360"/>
      <c r="E508" s="528"/>
    </row>
    <row r="509" spans="1:5">
      <c r="A509" s="360"/>
      <c r="B509" s="360"/>
      <c r="C509" s="360"/>
      <c r="D509" s="360"/>
      <c r="E509" s="528"/>
    </row>
    <row r="510" spans="1:5">
      <c r="A510" s="360"/>
      <c r="B510" s="360"/>
      <c r="C510" s="360"/>
      <c r="D510" s="360"/>
      <c r="E510" s="528"/>
    </row>
    <row r="511" spans="1:5">
      <c r="A511" s="360"/>
      <c r="B511" s="360"/>
      <c r="C511" s="360"/>
      <c r="D511" s="360"/>
      <c r="E511" s="528"/>
    </row>
    <row r="512" spans="1:5">
      <c r="A512" s="360"/>
      <c r="B512" s="360"/>
      <c r="C512" s="360"/>
      <c r="D512" s="360"/>
      <c r="E512" s="528"/>
    </row>
    <row r="513" spans="1:5">
      <c r="A513" s="360"/>
      <c r="B513" s="360"/>
      <c r="C513" s="360"/>
      <c r="D513" s="360"/>
      <c r="E513" s="528"/>
    </row>
    <row r="514" spans="1:5">
      <c r="A514" s="360"/>
      <c r="B514" s="360"/>
      <c r="C514" s="360"/>
      <c r="D514" s="360"/>
      <c r="E514" s="528"/>
    </row>
    <row r="515" spans="1:5">
      <c r="A515" s="360"/>
      <c r="B515" s="360"/>
      <c r="C515" s="360"/>
      <c r="D515" s="360"/>
      <c r="E515" s="528"/>
    </row>
    <row r="516" spans="1:5">
      <c r="A516" s="360"/>
      <c r="B516" s="360"/>
      <c r="C516" s="360"/>
      <c r="D516" s="360"/>
      <c r="E516" s="528"/>
    </row>
    <row r="517" spans="1:5">
      <c r="A517" s="360"/>
      <c r="B517" s="360"/>
      <c r="C517" s="360"/>
      <c r="D517" s="360"/>
      <c r="E517" s="528"/>
    </row>
    <row r="518" spans="1:5">
      <c r="A518" s="360"/>
      <c r="B518" s="360"/>
      <c r="C518" s="360"/>
      <c r="D518" s="360"/>
      <c r="E518" s="528"/>
    </row>
    <row r="519" spans="1:5">
      <c r="A519" s="360"/>
      <c r="B519" s="360"/>
      <c r="C519" s="360"/>
      <c r="D519" s="360"/>
      <c r="E519" s="528"/>
    </row>
    <row r="520" spans="1:5">
      <c r="A520" s="360"/>
      <c r="B520" s="360"/>
      <c r="C520" s="360"/>
      <c r="D520" s="360"/>
      <c r="E520" s="528"/>
    </row>
    <row r="521" spans="1:5">
      <c r="A521" s="360"/>
      <c r="B521" s="360"/>
      <c r="C521" s="360"/>
      <c r="D521" s="360"/>
      <c r="E521" s="528"/>
    </row>
    <row r="522" spans="1:5">
      <c r="A522" s="360"/>
      <c r="B522" s="360"/>
      <c r="C522" s="360"/>
      <c r="D522" s="360"/>
      <c r="E522" s="528"/>
    </row>
    <row r="523" spans="1:5">
      <c r="A523" s="360"/>
      <c r="B523" s="360"/>
      <c r="C523" s="360"/>
      <c r="D523" s="360"/>
      <c r="E523" s="528"/>
    </row>
    <row r="524" spans="1:5">
      <c r="A524" s="360"/>
      <c r="B524" s="360"/>
      <c r="C524" s="360"/>
      <c r="D524" s="360"/>
      <c r="E524" s="528"/>
    </row>
    <row r="525" spans="1:5">
      <c r="A525" s="360"/>
      <c r="B525" s="360"/>
      <c r="C525" s="360"/>
      <c r="D525" s="360"/>
      <c r="E525" s="528"/>
    </row>
    <row r="526" spans="1:5">
      <c r="A526" s="360"/>
      <c r="B526" s="360"/>
      <c r="C526" s="360"/>
      <c r="D526" s="360"/>
      <c r="E526" s="528"/>
    </row>
    <row r="527" spans="1:5">
      <c r="A527" s="360"/>
      <c r="B527" s="360"/>
      <c r="C527" s="360"/>
      <c r="D527" s="360"/>
      <c r="E527" s="528"/>
    </row>
    <row r="528" spans="1:5">
      <c r="A528" s="360"/>
      <c r="B528" s="360"/>
      <c r="C528" s="360"/>
      <c r="D528" s="360"/>
      <c r="E528" s="528"/>
    </row>
    <row r="529" spans="1:5">
      <c r="A529" s="360"/>
      <c r="B529" s="360"/>
      <c r="C529" s="360"/>
      <c r="D529" s="360"/>
      <c r="E529" s="528"/>
    </row>
    <row r="530" spans="1:5">
      <c r="A530" s="360"/>
      <c r="B530" s="360"/>
      <c r="C530" s="360"/>
      <c r="D530" s="360"/>
      <c r="E530" s="528"/>
    </row>
    <row r="531" spans="1:5">
      <c r="A531" s="360"/>
      <c r="B531" s="360"/>
      <c r="C531" s="360"/>
      <c r="D531" s="360"/>
      <c r="E531" s="528"/>
    </row>
    <row r="532" spans="1:5">
      <c r="A532" s="360"/>
      <c r="B532" s="360"/>
      <c r="C532" s="360"/>
      <c r="D532" s="360"/>
      <c r="E532" s="528"/>
    </row>
    <row r="533" spans="1:5">
      <c r="A533" s="360"/>
      <c r="B533" s="360"/>
      <c r="C533" s="360"/>
      <c r="D533" s="360"/>
      <c r="E533" s="528"/>
    </row>
    <row r="534" spans="1:5">
      <c r="A534" s="360"/>
      <c r="B534" s="360"/>
      <c r="C534" s="360"/>
      <c r="D534" s="360"/>
      <c r="E534" s="528"/>
    </row>
    <row r="535" spans="1:5">
      <c r="A535" s="360"/>
      <c r="B535" s="360"/>
      <c r="C535" s="360"/>
      <c r="D535" s="360"/>
      <c r="E535" s="528"/>
    </row>
    <row r="536" spans="1:5">
      <c r="A536" s="360"/>
      <c r="B536" s="360"/>
      <c r="C536" s="360"/>
      <c r="D536" s="360"/>
      <c r="E536" s="528"/>
    </row>
    <row r="537" spans="1:5">
      <c r="A537" s="360"/>
      <c r="B537" s="360"/>
      <c r="C537" s="360"/>
      <c r="D537" s="360"/>
      <c r="E537" s="528"/>
    </row>
    <row r="538" spans="1:5">
      <c r="A538" s="360"/>
      <c r="B538" s="360"/>
      <c r="C538" s="360"/>
      <c r="D538" s="360"/>
      <c r="E538" s="528"/>
    </row>
    <row r="539" spans="1:5">
      <c r="A539" s="360"/>
      <c r="B539" s="360"/>
      <c r="C539" s="360"/>
      <c r="D539" s="360"/>
      <c r="E539" s="528"/>
    </row>
    <row r="540" spans="1:5">
      <c r="A540" s="360"/>
      <c r="B540" s="360"/>
      <c r="C540" s="360"/>
      <c r="D540" s="360"/>
      <c r="E540" s="528"/>
    </row>
    <row r="541" spans="1:5">
      <c r="A541" s="360"/>
      <c r="B541" s="360"/>
      <c r="C541" s="360"/>
      <c r="D541" s="360"/>
      <c r="E541" s="528"/>
    </row>
    <row r="542" spans="1:5">
      <c r="A542" s="360"/>
      <c r="B542" s="360"/>
      <c r="C542" s="360"/>
      <c r="D542" s="360"/>
      <c r="E542" s="528"/>
    </row>
    <row r="543" spans="1:5">
      <c r="A543" s="360"/>
      <c r="B543" s="360"/>
      <c r="C543" s="360"/>
      <c r="D543" s="360"/>
      <c r="E543" s="528"/>
    </row>
    <row r="544" spans="1:5">
      <c r="A544" s="360"/>
      <c r="B544" s="360"/>
      <c r="C544" s="360"/>
      <c r="D544" s="360"/>
      <c r="E544" s="528"/>
    </row>
    <row r="545" spans="1:5">
      <c r="A545" s="360"/>
      <c r="B545" s="360"/>
      <c r="C545" s="360"/>
      <c r="D545" s="360"/>
      <c r="E545" s="528"/>
    </row>
    <row r="546" spans="1:5">
      <c r="A546" s="360"/>
      <c r="B546" s="360"/>
      <c r="C546" s="360"/>
      <c r="D546" s="360"/>
      <c r="E546" s="528"/>
    </row>
    <row r="547" spans="1:5">
      <c r="A547" s="360"/>
      <c r="B547" s="360"/>
      <c r="C547" s="360"/>
      <c r="D547" s="360"/>
      <c r="E547" s="528"/>
    </row>
    <row r="548" spans="1:5">
      <c r="A548" s="360"/>
      <c r="B548" s="360"/>
      <c r="C548" s="360"/>
      <c r="D548" s="360"/>
      <c r="E548" s="528"/>
    </row>
    <row r="549" spans="1:5">
      <c r="A549" s="360"/>
      <c r="B549" s="360"/>
      <c r="C549" s="360"/>
      <c r="D549" s="360"/>
      <c r="E549" s="528"/>
    </row>
    <row r="550" spans="1:5">
      <c r="A550" s="360"/>
      <c r="B550" s="360"/>
      <c r="C550" s="360"/>
      <c r="D550" s="360"/>
      <c r="E550" s="528"/>
    </row>
    <row r="551" spans="1:5">
      <c r="A551" s="360"/>
      <c r="B551" s="360"/>
      <c r="C551" s="360"/>
      <c r="D551" s="360"/>
      <c r="E551" s="528"/>
    </row>
    <row r="552" spans="1:5">
      <c r="A552" s="360"/>
      <c r="B552" s="360"/>
      <c r="C552" s="360"/>
      <c r="D552" s="360"/>
      <c r="E552" s="528"/>
    </row>
    <row r="553" spans="1:5">
      <c r="A553" s="360"/>
      <c r="B553" s="360"/>
      <c r="C553" s="360"/>
      <c r="D553" s="360"/>
      <c r="E553" s="528"/>
    </row>
    <row r="554" spans="1:5">
      <c r="A554" s="360"/>
      <c r="B554" s="360"/>
      <c r="C554" s="360"/>
      <c r="D554" s="360"/>
      <c r="E554" s="528"/>
    </row>
    <row r="555" spans="1:5">
      <c r="A555" s="360"/>
      <c r="B555" s="360"/>
      <c r="C555" s="360"/>
      <c r="D555" s="360"/>
      <c r="E555" s="528"/>
    </row>
    <row r="556" spans="1:5">
      <c r="A556" s="360"/>
      <c r="B556" s="360"/>
      <c r="C556" s="360"/>
      <c r="D556" s="360"/>
      <c r="E556" s="528"/>
    </row>
    <row r="557" spans="1:5">
      <c r="A557" s="360"/>
      <c r="B557" s="360"/>
      <c r="C557" s="360"/>
      <c r="D557" s="360"/>
      <c r="E557" s="528"/>
    </row>
    <row r="558" spans="1:5">
      <c r="A558" s="360"/>
      <c r="B558" s="360"/>
      <c r="C558" s="360"/>
      <c r="D558" s="360"/>
      <c r="E558" s="528"/>
    </row>
    <row r="559" spans="1:5">
      <c r="A559" s="360"/>
      <c r="B559" s="360"/>
      <c r="C559" s="360"/>
      <c r="D559" s="360"/>
      <c r="E559" s="528"/>
    </row>
    <row r="560" spans="1:5">
      <c r="A560" s="360"/>
      <c r="B560" s="360"/>
      <c r="C560" s="360"/>
      <c r="D560" s="360"/>
      <c r="E560" s="528"/>
    </row>
    <row r="561" spans="1:5">
      <c r="A561" s="360"/>
      <c r="B561" s="360"/>
      <c r="C561" s="360"/>
      <c r="D561" s="360"/>
      <c r="E561" s="528"/>
    </row>
    <row r="562" spans="1:5">
      <c r="A562" s="360"/>
      <c r="B562" s="360"/>
      <c r="C562" s="360"/>
      <c r="D562" s="360"/>
      <c r="E562" s="528"/>
    </row>
    <row r="563" spans="1:5">
      <c r="A563" s="360"/>
      <c r="B563" s="360"/>
      <c r="C563" s="360"/>
      <c r="D563" s="360"/>
      <c r="E563" s="528"/>
    </row>
    <row r="564" spans="1:5">
      <c r="A564" s="360"/>
      <c r="B564" s="360"/>
      <c r="C564" s="360"/>
      <c r="D564" s="360"/>
      <c r="E564" s="528"/>
    </row>
    <row r="565" spans="1:5">
      <c r="A565" s="360"/>
      <c r="B565" s="360"/>
      <c r="C565" s="360"/>
      <c r="D565" s="360"/>
      <c r="E565" s="528"/>
    </row>
    <row r="566" spans="1:5">
      <c r="A566" s="360"/>
      <c r="B566" s="360"/>
      <c r="C566" s="360"/>
      <c r="D566" s="360"/>
      <c r="E566" s="528"/>
    </row>
    <row r="567" spans="1:5">
      <c r="A567" s="360"/>
      <c r="B567" s="360"/>
      <c r="C567" s="360"/>
      <c r="D567" s="360"/>
      <c r="E567" s="528"/>
    </row>
    <row r="568" spans="1:5">
      <c r="A568" s="360"/>
      <c r="B568" s="360"/>
      <c r="C568" s="360"/>
      <c r="D568" s="360"/>
      <c r="E568" s="528"/>
    </row>
    <row r="569" spans="1:5">
      <c r="A569" s="360"/>
      <c r="B569" s="360"/>
      <c r="C569" s="360"/>
      <c r="D569" s="360"/>
      <c r="E569" s="528"/>
    </row>
    <row r="570" spans="1:5">
      <c r="A570" s="360"/>
      <c r="B570" s="360"/>
      <c r="C570" s="360"/>
      <c r="D570" s="360"/>
      <c r="E570" s="528"/>
    </row>
    <row r="571" spans="1:5">
      <c r="A571" s="360"/>
      <c r="B571" s="360"/>
      <c r="C571" s="360"/>
      <c r="D571" s="360"/>
      <c r="E571" s="528"/>
    </row>
    <row r="572" spans="1:5">
      <c r="A572" s="360"/>
      <c r="B572" s="360"/>
      <c r="C572" s="360"/>
      <c r="D572" s="360"/>
      <c r="E572" s="528"/>
    </row>
    <row r="573" spans="1:5">
      <c r="A573" s="360"/>
      <c r="B573" s="360"/>
      <c r="C573" s="360"/>
      <c r="D573" s="360"/>
      <c r="E573" s="528"/>
    </row>
    <row r="574" spans="1:5">
      <c r="A574" s="360"/>
      <c r="B574" s="360"/>
      <c r="C574" s="360"/>
      <c r="D574" s="360"/>
      <c r="E574" s="528"/>
    </row>
    <row r="575" spans="1:5">
      <c r="A575" s="360"/>
      <c r="B575" s="360"/>
      <c r="C575" s="360"/>
      <c r="D575" s="360"/>
      <c r="E575" s="528"/>
    </row>
    <row r="576" spans="1:5">
      <c r="A576" s="360"/>
      <c r="B576" s="360"/>
      <c r="C576" s="360"/>
      <c r="D576" s="360"/>
      <c r="E576" s="528"/>
    </row>
    <row r="577" spans="1:5">
      <c r="A577" s="360"/>
      <c r="B577" s="360"/>
      <c r="C577" s="360"/>
      <c r="D577" s="360"/>
      <c r="E577" s="528"/>
    </row>
    <row r="578" spans="1:5">
      <c r="A578" s="360"/>
      <c r="B578" s="360"/>
      <c r="C578" s="360"/>
      <c r="D578" s="360"/>
      <c r="E578" s="528"/>
    </row>
    <row r="579" spans="1:5">
      <c r="A579" s="360"/>
      <c r="B579" s="360"/>
      <c r="C579" s="360"/>
      <c r="D579" s="360"/>
      <c r="E579" s="528"/>
    </row>
    <row r="580" spans="1:5">
      <c r="A580" s="360"/>
      <c r="B580" s="360"/>
      <c r="C580" s="360"/>
      <c r="D580" s="360"/>
      <c r="E580" s="528"/>
    </row>
    <row r="581" spans="1:5">
      <c r="A581" s="360"/>
      <c r="B581" s="360"/>
      <c r="C581" s="360"/>
      <c r="D581" s="360"/>
      <c r="E581" s="528"/>
    </row>
    <row r="582" spans="1:5">
      <c r="A582" s="360"/>
      <c r="B582" s="360"/>
      <c r="C582" s="360"/>
      <c r="D582" s="360"/>
      <c r="E582" s="528"/>
    </row>
    <row r="583" spans="1:5">
      <c r="A583" s="360"/>
      <c r="B583" s="360"/>
      <c r="C583" s="360"/>
      <c r="D583" s="360"/>
      <c r="E583" s="528"/>
    </row>
    <row r="584" spans="1:5">
      <c r="A584" s="360"/>
      <c r="B584" s="360"/>
      <c r="C584" s="360"/>
      <c r="D584" s="360"/>
      <c r="E584" s="528"/>
    </row>
    <row r="585" spans="1:5">
      <c r="A585" s="360"/>
      <c r="B585" s="360"/>
      <c r="C585" s="360"/>
      <c r="D585" s="360"/>
      <c r="E585" s="528"/>
    </row>
    <row r="586" spans="1:5">
      <c r="A586" s="360"/>
      <c r="B586" s="360"/>
      <c r="C586" s="360"/>
      <c r="D586" s="360"/>
      <c r="E586" s="528"/>
    </row>
    <row r="587" spans="1:5">
      <c r="A587" s="360"/>
      <c r="B587" s="360"/>
      <c r="C587" s="360"/>
      <c r="D587" s="360"/>
      <c r="E587" s="528"/>
    </row>
    <row r="588" spans="1:5">
      <c r="A588" s="360"/>
      <c r="B588" s="360"/>
      <c r="C588" s="360"/>
      <c r="D588" s="360"/>
      <c r="E588" s="528"/>
    </row>
    <row r="589" spans="1:5">
      <c r="A589" s="360"/>
      <c r="B589" s="360"/>
      <c r="C589" s="360"/>
      <c r="D589" s="360"/>
      <c r="E589" s="528"/>
    </row>
    <row r="590" spans="1:5">
      <c r="A590" s="360"/>
      <c r="B590" s="360"/>
      <c r="C590" s="360"/>
      <c r="D590" s="360"/>
      <c r="E590" s="528"/>
    </row>
    <row r="591" spans="1:5">
      <c r="A591" s="360"/>
      <c r="B591" s="360"/>
      <c r="C591" s="360"/>
      <c r="D591" s="360"/>
      <c r="E591" s="528"/>
    </row>
    <row r="592" spans="1:5">
      <c r="A592" s="360"/>
      <c r="B592" s="360"/>
      <c r="C592" s="360"/>
      <c r="D592" s="360"/>
      <c r="E592" s="528"/>
    </row>
    <row r="593" spans="1:5">
      <c r="A593" s="360"/>
      <c r="B593" s="360"/>
      <c r="C593" s="360"/>
      <c r="D593" s="360"/>
      <c r="E593" s="528"/>
    </row>
    <row r="594" spans="1:5">
      <c r="A594" s="360"/>
      <c r="B594" s="360"/>
      <c r="C594" s="360"/>
      <c r="D594" s="360"/>
      <c r="E594" s="528"/>
    </row>
    <row r="595" spans="1:5">
      <c r="A595" s="360"/>
      <c r="B595" s="360"/>
      <c r="C595" s="360"/>
      <c r="D595" s="360"/>
      <c r="E595" s="528"/>
    </row>
    <row r="596" spans="1:5">
      <c r="A596" s="360"/>
      <c r="B596" s="360"/>
      <c r="C596" s="360"/>
      <c r="D596" s="360"/>
      <c r="E596" s="528"/>
    </row>
    <row r="597" spans="1:5">
      <c r="A597" s="360"/>
      <c r="B597" s="360"/>
      <c r="C597" s="360"/>
      <c r="D597" s="360"/>
      <c r="E597" s="528"/>
    </row>
    <row r="598" spans="1:5">
      <c r="A598" s="360"/>
      <c r="B598" s="360"/>
      <c r="C598" s="360"/>
      <c r="D598" s="360"/>
      <c r="E598" s="528"/>
    </row>
    <row r="599" spans="1:5">
      <c r="A599" s="360"/>
      <c r="B599" s="360"/>
      <c r="C599" s="360"/>
      <c r="D599" s="360"/>
      <c r="E599" s="528"/>
    </row>
    <row r="600" spans="1:5">
      <c r="A600" s="360"/>
      <c r="B600" s="360"/>
      <c r="C600" s="360"/>
      <c r="D600" s="360"/>
      <c r="E600" s="528"/>
    </row>
    <row r="601" spans="1:5">
      <c r="A601" s="360"/>
      <c r="B601" s="360"/>
      <c r="C601" s="360"/>
      <c r="D601" s="360"/>
      <c r="E601" s="528"/>
    </row>
    <row r="602" spans="1:5">
      <c r="A602" s="360"/>
      <c r="B602" s="360"/>
      <c r="C602" s="360"/>
      <c r="D602" s="360"/>
      <c r="E602" s="528"/>
    </row>
    <row r="603" spans="1:5">
      <c r="A603" s="360"/>
      <c r="B603" s="360"/>
      <c r="C603" s="360"/>
      <c r="D603" s="360"/>
      <c r="E603" s="528"/>
    </row>
    <row r="604" spans="1:5">
      <c r="A604" s="360"/>
      <c r="B604" s="360"/>
      <c r="C604" s="360"/>
      <c r="D604" s="360"/>
      <c r="E604" s="528"/>
    </row>
    <row r="605" spans="1:5">
      <c r="A605" s="360"/>
      <c r="B605" s="360"/>
      <c r="C605" s="360"/>
      <c r="D605" s="360"/>
      <c r="E605" s="528"/>
    </row>
    <row r="606" spans="1:5">
      <c r="A606" s="360"/>
      <c r="B606" s="360"/>
      <c r="C606" s="360"/>
      <c r="D606" s="360"/>
      <c r="E606" s="528"/>
    </row>
    <row r="607" spans="1:5">
      <c r="A607" s="360"/>
      <c r="B607" s="360"/>
      <c r="C607" s="360"/>
      <c r="D607" s="360"/>
      <c r="E607" s="528"/>
    </row>
    <row r="608" spans="1:5">
      <c r="A608" s="360"/>
      <c r="B608" s="360"/>
      <c r="C608" s="360"/>
      <c r="D608" s="360"/>
      <c r="E608" s="528"/>
    </row>
    <row r="609" spans="1:5">
      <c r="A609" s="360"/>
      <c r="B609" s="360"/>
      <c r="C609" s="360"/>
      <c r="D609" s="360"/>
      <c r="E609" s="528"/>
    </row>
    <row r="610" spans="1:5">
      <c r="A610" s="360"/>
      <c r="B610" s="360"/>
      <c r="C610" s="360"/>
      <c r="D610" s="360"/>
      <c r="E610" s="528"/>
    </row>
    <row r="611" spans="1:5">
      <c r="A611" s="360"/>
      <c r="B611" s="360"/>
      <c r="C611" s="360"/>
      <c r="D611" s="360"/>
      <c r="E611" s="528"/>
    </row>
    <row r="612" spans="1:5">
      <c r="A612" s="360"/>
      <c r="B612" s="360"/>
      <c r="C612" s="360"/>
      <c r="D612" s="360"/>
      <c r="E612" s="528"/>
    </row>
    <row r="613" spans="1:5">
      <c r="A613" s="360"/>
      <c r="B613" s="360"/>
      <c r="C613" s="360"/>
      <c r="D613" s="360"/>
      <c r="E613" s="528"/>
    </row>
    <row r="614" spans="1:5">
      <c r="A614" s="360"/>
      <c r="B614" s="360"/>
      <c r="C614" s="360"/>
      <c r="D614" s="360"/>
      <c r="E614" s="528"/>
    </row>
    <row r="615" spans="1:5">
      <c r="A615" s="360"/>
      <c r="B615" s="360"/>
      <c r="C615" s="360"/>
      <c r="D615" s="360"/>
      <c r="E615" s="528"/>
    </row>
    <row r="616" spans="1:5">
      <c r="A616" s="360"/>
      <c r="B616" s="360"/>
      <c r="C616" s="360"/>
      <c r="D616" s="360"/>
      <c r="E616" s="528"/>
    </row>
    <row r="617" spans="1:5">
      <c r="A617" s="360"/>
      <c r="B617" s="360"/>
      <c r="C617" s="360"/>
      <c r="D617" s="360"/>
      <c r="E617" s="528"/>
    </row>
    <row r="618" spans="1:5">
      <c r="A618" s="360"/>
      <c r="B618" s="360"/>
      <c r="C618" s="360"/>
      <c r="D618" s="360"/>
      <c r="E618" s="528"/>
    </row>
    <row r="619" spans="1:5">
      <c r="A619" s="360"/>
      <c r="B619" s="360"/>
      <c r="C619" s="360"/>
      <c r="D619" s="360"/>
      <c r="E619" s="528"/>
    </row>
    <row r="620" spans="1:5">
      <c r="A620" s="360"/>
      <c r="B620" s="360"/>
      <c r="C620" s="360"/>
      <c r="D620" s="360"/>
      <c r="E620" s="528"/>
    </row>
    <row r="621" spans="1:5">
      <c r="A621" s="360"/>
      <c r="B621" s="360"/>
      <c r="C621" s="360"/>
      <c r="D621" s="360"/>
      <c r="E621" s="528"/>
    </row>
    <row r="622" spans="1:5">
      <c r="A622" s="360"/>
      <c r="B622" s="360"/>
      <c r="C622" s="360"/>
      <c r="D622" s="360"/>
      <c r="E622" s="528"/>
    </row>
    <row r="623" spans="1:5">
      <c r="A623" s="360"/>
      <c r="B623" s="360"/>
      <c r="C623" s="360"/>
      <c r="D623" s="360"/>
      <c r="E623" s="528"/>
    </row>
    <row r="624" spans="1:5">
      <c r="A624" s="360"/>
      <c r="B624" s="360"/>
      <c r="C624" s="360"/>
      <c r="D624" s="360"/>
      <c r="E624" s="528"/>
    </row>
    <row r="625" spans="1:5">
      <c r="A625" s="360"/>
      <c r="B625" s="360"/>
      <c r="C625" s="360"/>
      <c r="D625" s="360"/>
      <c r="E625" s="528"/>
    </row>
    <row r="626" spans="1:5">
      <c r="A626" s="360"/>
      <c r="B626" s="360"/>
      <c r="C626" s="360"/>
      <c r="D626" s="360"/>
      <c r="E626" s="528"/>
    </row>
    <row r="627" spans="1:5">
      <c r="A627" s="360"/>
      <c r="B627" s="360"/>
      <c r="C627" s="360"/>
      <c r="D627" s="360"/>
      <c r="E627" s="528"/>
    </row>
    <row r="628" spans="1:5">
      <c r="A628" s="360"/>
      <c r="B628" s="360"/>
      <c r="C628" s="360"/>
      <c r="D628" s="360"/>
      <c r="E628" s="528"/>
    </row>
    <row r="629" spans="1:5">
      <c r="A629" s="360"/>
      <c r="B629" s="360"/>
      <c r="C629" s="360"/>
      <c r="D629" s="360"/>
      <c r="E629" s="528"/>
    </row>
    <row r="630" spans="1:5">
      <c r="A630" s="360"/>
      <c r="B630" s="360"/>
      <c r="C630" s="360"/>
      <c r="D630" s="360"/>
      <c r="E630" s="528"/>
    </row>
    <row r="631" spans="1:5">
      <c r="A631" s="360"/>
      <c r="B631" s="360"/>
      <c r="C631" s="360"/>
      <c r="D631" s="360"/>
      <c r="E631" s="528"/>
    </row>
    <row r="632" spans="1:5">
      <c r="A632" s="360"/>
      <c r="B632" s="360"/>
      <c r="C632" s="360"/>
      <c r="D632" s="360"/>
      <c r="E632" s="528"/>
    </row>
    <row r="633" spans="1:5">
      <c r="A633" s="360"/>
      <c r="B633" s="360"/>
      <c r="C633" s="360"/>
      <c r="D633" s="360"/>
      <c r="E633" s="528"/>
    </row>
    <row r="634" spans="1:5">
      <c r="A634" s="360"/>
      <c r="B634" s="360"/>
      <c r="C634" s="360"/>
      <c r="D634" s="360"/>
      <c r="E634" s="528"/>
    </row>
    <row r="635" spans="1:5">
      <c r="A635" s="360"/>
      <c r="B635" s="360"/>
      <c r="C635" s="360"/>
      <c r="D635" s="360"/>
      <c r="E635" s="528"/>
    </row>
    <row r="636" spans="1:5">
      <c r="A636" s="360"/>
      <c r="B636" s="360"/>
      <c r="C636" s="360"/>
      <c r="D636" s="360"/>
      <c r="E636" s="528"/>
    </row>
    <row r="637" spans="1:5">
      <c r="A637" s="360"/>
      <c r="B637" s="360"/>
      <c r="C637" s="360"/>
      <c r="D637" s="360"/>
      <c r="E637" s="528"/>
    </row>
    <row r="638" spans="1:5">
      <c r="A638" s="360"/>
      <c r="B638" s="360"/>
      <c r="C638" s="360"/>
      <c r="D638" s="360"/>
      <c r="E638" s="528"/>
    </row>
    <row r="639" spans="1:5">
      <c r="A639" s="360"/>
      <c r="B639" s="360"/>
      <c r="C639" s="360"/>
      <c r="D639" s="360"/>
      <c r="E639" s="528"/>
    </row>
    <row r="640" spans="1:5">
      <c r="A640" s="360"/>
      <c r="B640" s="360"/>
      <c r="C640" s="360"/>
      <c r="D640" s="360"/>
      <c r="E640" s="528"/>
    </row>
    <row r="641" spans="1:5">
      <c r="A641" s="360"/>
      <c r="B641" s="360"/>
      <c r="C641" s="360"/>
      <c r="D641" s="360"/>
      <c r="E641" s="528"/>
    </row>
    <row r="642" spans="1:5">
      <c r="A642" s="360"/>
      <c r="B642" s="360"/>
      <c r="C642" s="360"/>
      <c r="D642" s="360"/>
      <c r="E642" s="528"/>
    </row>
    <row r="643" spans="1:5">
      <c r="A643" s="360"/>
      <c r="B643" s="360"/>
      <c r="C643" s="360"/>
      <c r="D643" s="360"/>
      <c r="E643" s="528"/>
    </row>
    <row r="644" spans="1:5">
      <c r="A644" s="360"/>
      <c r="B644" s="360"/>
      <c r="C644" s="360"/>
      <c r="D644" s="360"/>
      <c r="E644" s="528"/>
    </row>
    <row r="645" spans="1:5">
      <c r="A645" s="360"/>
      <c r="B645" s="360"/>
      <c r="C645" s="360"/>
      <c r="D645" s="360"/>
      <c r="E645" s="528"/>
    </row>
    <row r="646" spans="1:5">
      <c r="A646" s="360"/>
      <c r="B646" s="360"/>
      <c r="C646" s="360"/>
      <c r="D646" s="360"/>
      <c r="E646" s="528"/>
    </row>
    <row r="647" spans="1:5">
      <c r="A647" s="360"/>
      <c r="B647" s="360"/>
      <c r="C647" s="360"/>
      <c r="D647" s="360"/>
      <c r="E647" s="528"/>
    </row>
    <row r="648" spans="1:5">
      <c r="A648" s="360"/>
      <c r="B648" s="360"/>
      <c r="C648" s="360"/>
      <c r="D648" s="360"/>
      <c r="E648" s="528"/>
    </row>
    <row r="649" spans="1:5">
      <c r="A649" s="360"/>
      <c r="B649" s="360"/>
      <c r="C649" s="360"/>
      <c r="D649" s="360"/>
      <c r="E649" s="528"/>
    </row>
    <row r="650" spans="1:5">
      <c r="A650" s="360"/>
      <c r="B650" s="360"/>
      <c r="C650" s="360"/>
      <c r="D650" s="360"/>
      <c r="E650" s="528"/>
    </row>
    <row r="651" spans="1:5">
      <c r="A651" s="360"/>
      <c r="B651" s="360"/>
      <c r="C651" s="360"/>
      <c r="D651" s="360"/>
      <c r="E651" s="528"/>
    </row>
    <row r="652" spans="1:5">
      <c r="A652" s="360"/>
      <c r="B652" s="360"/>
      <c r="C652" s="360"/>
      <c r="D652" s="360"/>
      <c r="E652" s="528"/>
    </row>
    <row r="653" spans="1:5">
      <c r="A653" s="360"/>
      <c r="B653" s="360"/>
      <c r="C653" s="360"/>
      <c r="D653" s="360"/>
      <c r="E653" s="528"/>
    </row>
    <row r="654" spans="1:5">
      <c r="A654" s="360"/>
      <c r="B654" s="360"/>
      <c r="C654" s="360"/>
      <c r="D654" s="360"/>
      <c r="E654" s="528"/>
    </row>
    <row r="655" spans="1:5">
      <c r="A655" s="360"/>
      <c r="B655" s="360"/>
      <c r="C655" s="360"/>
      <c r="D655" s="360"/>
      <c r="E655" s="528"/>
    </row>
    <row r="656" spans="1:5">
      <c r="A656" s="360"/>
      <c r="B656" s="360"/>
      <c r="C656" s="360"/>
      <c r="D656" s="360"/>
      <c r="E656" s="528"/>
    </row>
    <row r="657" spans="1:5">
      <c r="A657" s="360"/>
      <c r="B657" s="360"/>
      <c r="C657" s="360"/>
      <c r="D657" s="360"/>
      <c r="E657" s="528"/>
    </row>
    <row r="658" spans="1:5">
      <c r="A658" s="360"/>
      <c r="B658" s="360"/>
      <c r="C658" s="360"/>
      <c r="D658" s="360"/>
      <c r="E658" s="528"/>
    </row>
    <row r="659" spans="1:5">
      <c r="A659" s="360"/>
      <c r="B659" s="360"/>
      <c r="C659" s="360"/>
      <c r="D659" s="360"/>
      <c r="E659" s="528"/>
    </row>
    <row r="660" spans="1:5">
      <c r="A660" s="360"/>
      <c r="B660" s="360"/>
      <c r="C660" s="360"/>
      <c r="D660" s="360"/>
      <c r="E660" s="528"/>
    </row>
    <row r="661" spans="1:5">
      <c r="A661" s="360"/>
      <c r="B661" s="360"/>
      <c r="C661" s="360"/>
      <c r="D661" s="360"/>
      <c r="E661" s="528"/>
    </row>
    <row r="662" spans="1:5">
      <c r="A662" s="360"/>
      <c r="B662" s="360"/>
      <c r="C662" s="360"/>
      <c r="D662" s="360"/>
      <c r="E662" s="528"/>
    </row>
    <row r="663" spans="1:5">
      <c r="A663" s="360"/>
      <c r="B663" s="360"/>
      <c r="C663" s="360"/>
      <c r="D663" s="360"/>
      <c r="E663" s="528"/>
    </row>
    <row r="664" spans="1:5">
      <c r="A664" s="360"/>
      <c r="B664" s="360"/>
      <c r="C664" s="360"/>
      <c r="D664" s="360"/>
      <c r="E664" s="528"/>
    </row>
    <row r="665" spans="1:5">
      <c r="A665" s="360"/>
      <c r="B665" s="360"/>
      <c r="C665" s="360"/>
      <c r="D665" s="360"/>
      <c r="E665" s="528"/>
    </row>
    <row r="666" spans="1:5">
      <c r="A666" s="360"/>
      <c r="B666" s="360"/>
      <c r="C666" s="360"/>
      <c r="D666" s="360"/>
      <c r="E666" s="528"/>
    </row>
    <row r="667" spans="1:5">
      <c r="A667" s="360"/>
      <c r="B667" s="360"/>
      <c r="C667" s="360"/>
      <c r="D667" s="360"/>
      <c r="E667" s="528"/>
    </row>
    <row r="668" spans="1:5">
      <c r="A668" s="360"/>
      <c r="B668" s="360"/>
      <c r="C668" s="360"/>
      <c r="D668" s="360"/>
      <c r="E668" s="528"/>
    </row>
    <row r="669" spans="1:5">
      <c r="A669" s="360"/>
      <c r="B669" s="360"/>
      <c r="C669" s="360"/>
      <c r="D669" s="360"/>
      <c r="E669" s="528"/>
    </row>
    <row r="670" spans="1:5">
      <c r="A670" s="360"/>
      <c r="B670" s="360"/>
      <c r="C670" s="360"/>
      <c r="D670" s="360"/>
      <c r="E670" s="528"/>
    </row>
    <row r="671" spans="1:5">
      <c r="A671" s="360"/>
      <c r="B671" s="360"/>
      <c r="C671" s="360"/>
      <c r="D671" s="360"/>
      <c r="E671" s="528"/>
    </row>
    <row r="672" spans="1:5">
      <c r="A672" s="360"/>
      <c r="B672" s="360"/>
      <c r="C672" s="360"/>
      <c r="D672" s="360"/>
      <c r="E672" s="528"/>
    </row>
    <row r="673" spans="1:5">
      <c r="A673" s="360"/>
      <c r="B673" s="360"/>
      <c r="C673" s="360"/>
      <c r="D673" s="360"/>
      <c r="E673" s="528"/>
    </row>
    <row r="674" spans="1:5">
      <c r="A674" s="360"/>
      <c r="B674" s="360"/>
      <c r="C674" s="360"/>
      <c r="D674" s="360"/>
      <c r="E674" s="528"/>
    </row>
    <row r="675" spans="1:5">
      <c r="A675" s="360"/>
      <c r="B675" s="360"/>
      <c r="C675" s="360"/>
      <c r="D675" s="360"/>
      <c r="E675" s="528"/>
    </row>
    <row r="676" spans="1:5">
      <c r="A676" s="360"/>
      <c r="B676" s="360"/>
      <c r="C676" s="360"/>
      <c r="D676" s="360"/>
      <c r="E676" s="528"/>
    </row>
    <row r="677" spans="1:5">
      <c r="A677" s="360"/>
      <c r="B677" s="360"/>
      <c r="C677" s="360"/>
      <c r="D677" s="360"/>
      <c r="E677" s="528"/>
    </row>
    <row r="678" spans="1:5">
      <c r="A678" s="360"/>
      <c r="B678" s="360"/>
      <c r="C678" s="360"/>
      <c r="D678" s="360"/>
      <c r="E678" s="528"/>
    </row>
    <row r="679" spans="1:5">
      <c r="A679" s="360"/>
      <c r="B679" s="360"/>
      <c r="C679" s="360"/>
      <c r="D679" s="360"/>
      <c r="E679" s="528"/>
    </row>
    <row r="680" spans="1:5">
      <c r="A680" s="360"/>
      <c r="B680" s="360"/>
      <c r="C680" s="360"/>
      <c r="D680" s="360"/>
      <c r="E680" s="528"/>
    </row>
    <row r="681" spans="1:5">
      <c r="A681" s="360"/>
      <c r="B681" s="360"/>
      <c r="C681" s="360"/>
      <c r="D681" s="360"/>
      <c r="E681" s="528"/>
    </row>
    <row r="682" spans="1:5">
      <c r="A682" s="360"/>
      <c r="B682" s="360"/>
      <c r="C682" s="360"/>
      <c r="D682" s="360"/>
      <c r="E682" s="528"/>
    </row>
    <row r="683" spans="1:5">
      <c r="A683" s="360"/>
      <c r="B683" s="360"/>
      <c r="C683" s="360"/>
      <c r="D683" s="360"/>
      <c r="E683" s="528"/>
    </row>
    <row r="684" spans="1:5">
      <c r="A684" s="360"/>
      <c r="B684" s="360"/>
      <c r="C684" s="360"/>
      <c r="D684" s="360"/>
      <c r="E684" s="528"/>
    </row>
    <row r="685" spans="1:5">
      <c r="A685" s="360"/>
      <c r="B685" s="360"/>
      <c r="C685" s="360"/>
      <c r="D685" s="360"/>
      <c r="E685" s="528"/>
    </row>
    <row r="686" spans="1:5">
      <c r="A686" s="360"/>
      <c r="B686" s="360"/>
      <c r="C686" s="360"/>
      <c r="D686" s="360"/>
      <c r="E686" s="528"/>
    </row>
    <row r="687" spans="1:5">
      <c r="A687" s="360"/>
      <c r="B687" s="360"/>
      <c r="C687" s="360"/>
      <c r="D687" s="360"/>
      <c r="E687" s="528"/>
    </row>
    <row r="688" spans="1:5">
      <c r="A688" s="360"/>
      <c r="B688" s="360"/>
      <c r="C688" s="360"/>
      <c r="D688" s="360"/>
      <c r="E688" s="528"/>
    </row>
    <row r="689" spans="1:5">
      <c r="A689" s="360"/>
      <c r="B689" s="360"/>
      <c r="C689" s="360"/>
      <c r="D689" s="360"/>
      <c r="E689" s="528"/>
    </row>
    <row r="690" spans="1:5">
      <c r="A690" s="360"/>
      <c r="B690" s="360"/>
      <c r="C690" s="360"/>
      <c r="D690" s="360"/>
      <c r="E690" s="528"/>
    </row>
    <row r="691" spans="1:5">
      <c r="A691" s="360"/>
      <c r="B691" s="360"/>
      <c r="C691" s="360"/>
      <c r="D691" s="360"/>
      <c r="E691" s="528"/>
    </row>
    <row r="692" spans="1:5">
      <c r="A692" s="360"/>
      <c r="B692" s="360"/>
      <c r="C692" s="360"/>
      <c r="D692" s="360"/>
      <c r="E692" s="528"/>
    </row>
    <row r="693" spans="1:5">
      <c r="A693" s="360"/>
      <c r="B693" s="360"/>
      <c r="C693" s="360"/>
      <c r="D693" s="360"/>
      <c r="E693" s="528"/>
    </row>
    <row r="694" spans="1:5">
      <c r="A694" s="360"/>
      <c r="B694" s="360"/>
      <c r="C694" s="360"/>
      <c r="D694" s="360"/>
      <c r="E694" s="528"/>
    </row>
    <row r="695" spans="1:5">
      <c r="A695" s="360"/>
      <c r="B695" s="360"/>
      <c r="C695" s="360"/>
      <c r="D695" s="360"/>
      <c r="E695" s="528"/>
    </row>
    <row r="696" spans="1:5">
      <c r="A696" s="360"/>
      <c r="B696" s="360"/>
      <c r="C696" s="360"/>
      <c r="D696" s="360"/>
      <c r="E696" s="528"/>
    </row>
    <row r="697" spans="1:5">
      <c r="A697" s="360"/>
      <c r="B697" s="360"/>
      <c r="C697" s="360"/>
      <c r="D697" s="360"/>
      <c r="E697" s="528"/>
    </row>
    <row r="698" spans="1:5">
      <c r="A698" s="360"/>
      <c r="B698" s="360"/>
      <c r="C698" s="360"/>
      <c r="D698" s="360"/>
      <c r="E698" s="528"/>
    </row>
    <row r="699" spans="1:5">
      <c r="A699" s="360"/>
      <c r="B699" s="360"/>
      <c r="C699" s="360"/>
      <c r="D699" s="360"/>
      <c r="E699" s="528"/>
    </row>
    <row r="700" spans="1:5">
      <c r="A700" s="360"/>
      <c r="B700" s="360"/>
      <c r="C700" s="360"/>
      <c r="D700" s="360"/>
      <c r="E700" s="528"/>
    </row>
    <row r="701" spans="1:5">
      <c r="A701" s="360"/>
      <c r="B701" s="360"/>
      <c r="C701" s="360"/>
      <c r="D701" s="360"/>
      <c r="E701" s="528"/>
    </row>
    <row r="702" spans="1:5">
      <c r="A702" s="360"/>
      <c r="B702" s="360"/>
      <c r="C702" s="360"/>
      <c r="D702" s="360"/>
      <c r="E702" s="528"/>
    </row>
    <row r="703" spans="1:5">
      <c r="A703" s="360"/>
      <c r="B703" s="360"/>
      <c r="C703" s="360"/>
      <c r="D703" s="360"/>
      <c r="E703" s="528"/>
    </row>
    <row r="704" spans="1:5">
      <c r="A704" s="360"/>
      <c r="B704" s="360"/>
      <c r="C704" s="360"/>
      <c r="D704" s="360"/>
      <c r="E704" s="528"/>
    </row>
    <row r="705" spans="1:5">
      <c r="A705" s="360"/>
      <c r="B705" s="360"/>
      <c r="C705" s="360"/>
      <c r="D705" s="360"/>
      <c r="E705" s="528"/>
    </row>
    <row r="706" spans="1:5">
      <c r="A706" s="360"/>
      <c r="B706" s="360"/>
      <c r="C706" s="360"/>
      <c r="D706" s="360"/>
      <c r="E706" s="528"/>
    </row>
    <row r="707" spans="1:5">
      <c r="A707" s="360"/>
      <c r="B707" s="360"/>
      <c r="C707" s="360"/>
      <c r="D707" s="360"/>
      <c r="E707" s="528"/>
    </row>
    <row r="708" spans="1:5">
      <c r="A708" s="360"/>
      <c r="B708" s="360"/>
      <c r="C708" s="360"/>
      <c r="D708" s="360"/>
      <c r="E708" s="528"/>
    </row>
    <row r="709" spans="1:5">
      <c r="A709" s="360"/>
      <c r="B709" s="360"/>
      <c r="C709" s="360"/>
      <c r="D709" s="360"/>
      <c r="E709" s="528"/>
    </row>
    <row r="710" spans="1:5">
      <c r="A710" s="360"/>
      <c r="B710" s="360"/>
      <c r="C710" s="360"/>
      <c r="D710" s="360"/>
      <c r="E710" s="528"/>
    </row>
    <row r="711" spans="1:5">
      <c r="A711" s="360"/>
      <c r="B711" s="360"/>
      <c r="C711" s="360"/>
      <c r="D711" s="360"/>
      <c r="E711" s="528"/>
    </row>
    <row r="712" spans="1:5">
      <c r="A712" s="360"/>
      <c r="B712" s="360"/>
      <c r="C712" s="360"/>
      <c r="D712" s="360"/>
      <c r="E712" s="528"/>
    </row>
    <row r="713" spans="1:5">
      <c r="A713" s="360"/>
      <c r="B713" s="360"/>
      <c r="C713" s="360"/>
      <c r="D713" s="360"/>
      <c r="E713" s="528"/>
    </row>
    <row r="714" spans="1:5">
      <c r="A714" s="360"/>
      <c r="B714" s="360"/>
      <c r="C714" s="360"/>
      <c r="D714" s="360"/>
      <c r="E714" s="528"/>
    </row>
    <row r="715" spans="1:5">
      <c r="A715" s="360"/>
      <c r="B715" s="360"/>
      <c r="C715" s="360"/>
      <c r="D715" s="360"/>
      <c r="E715" s="528"/>
    </row>
    <row r="716" spans="1:5">
      <c r="A716" s="360"/>
      <c r="B716" s="360"/>
      <c r="C716" s="360"/>
      <c r="D716" s="360"/>
      <c r="E716" s="528"/>
    </row>
    <row r="717" spans="1:5">
      <c r="A717" s="360"/>
      <c r="B717" s="360"/>
      <c r="C717" s="360"/>
      <c r="D717" s="360"/>
      <c r="E717" s="528"/>
    </row>
    <row r="718" spans="1:5">
      <c r="A718" s="360"/>
      <c r="B718" s="360"/>
      <c r="C718" s="360"/>
      <c r="D718" s="360"/>
      <c r="E718" s="528"/>
    </row>
    <row r="719" spans="1:5">
      <c r="A719" s="360"/>
      <c r="B719" s="360"/>
      <c r="C719" s="360"/>
      <c r="D719" s="360"/>
      <c r="E719" s="528"/>
    </row>
    <row r="720" spans="1:5">
      <c r="A720" s="360"/>
      <c r="B720" s="360"/>
      <c r="C720" s="360"/>
      <c r="D720" s="360"/>
      <c r="E720" s="528"/>
    </row>
    <row r="721" spans="1:5">
      <c r="A721" s="360"/>
      <c r="B721" s="360"/>
      <c r="C721" s="360"/>
      <c r="D721" s="360"/>
      <c r="E721" s="528"/>
    </row>
    <row r="722" spans="1:5">
      <c r="A722" s="360"/>
      <c r="B722" s="360"/>
      <c r="C722" s="360"/>
      <c r="D722" s="360"/>
      <c r="E722" s="528"/>
    </row>
    <row r="723" spans="1:5">
      <c r="A723" s="360"/>
      <c r="B723" s="360"/>
      <c r="C723" s="360"/>
      <c r="D723" s="360"/>
      <c r="E723" s="528"/>
    </row>
    <row r="724" spans="1:5">
      <c r="A724" s="360"/>
      <c r="B724" s="360"/>
      <c r="C724" s="360"/>
      <c r="D724" s="360"/>
      <c r="E724" s="528"/>
    </row>
    <row r="725" spans="1:5">
      <c r="A725" s="360"/>
      <c r="B725" s="360"/>
      <c r="C725" s="360"/>
      <c r="D725" s="360"/>
      <c r="E725" s="528"/>
    </row>
    <row r="726" spans="1:5">
      <c r="A726" s="360"/>
      <c r="B726" s="360"/>
      <c r="C726" s="360"/>
      <c r="D726" s="360"/>
      <c r="E726" s="528"/>
    </row>
    <row r="727" spans="1:5">
      <c r="A727" s="360"/>
      <c r="B727" s="360"/>
      <c r="C727" s="360"/>
      <c r="D727" s="360"/>
      <c r="E727" s="528"/>
    </row>
    <row r="728" spans="1:5">
      <c r="A728" s="360"/>
      <c r="B728" s="360"/>
      <c r="C728" s="360"/>
      <c r="D728" s="360"/>
      <c r="E728" s="528"/>
    </row>
    <row r="729" spans="1:5">
      <c r="A729" s="360"/>
      <c r="B729" s="360"/>
      <c r="C729" s="360"/>
      <c r="D729" s="360"/>
      <c r="E729" s="528"/>
    </row>
    <row r="730" spans="1:5">
      <c r="A730" s="360"/>
      <c r="B730" s="360"/>
      <c r="C730" s="360"/>
      <c r="D730" s="360"/>
      <c r="E730" s="528"/>
    </row>
    <row r="731" spans="1:5">
      <c r="A731" s="360"/>
      <c r="B731" s="360"/>
      <c r="C731" s="360"/>
      <c r="D731" s="360"/>
      <c r="E731" s="528"/>
    </row>
    <row r="732" spans="1:5">
      <c r="A732" s="360"/>
      <c r="B732" s="360"/>
      <c r="C732" s="360"/>
      <c r="D732" s="360"/>
      <c r="E732" s="528"/>
    </row>
    <row r="733" spans="1:5">
      <c r="A733" s="360"/>
      <c r="B733" s="360"/>
      <c r="C733" s="360"/>
      <c r="D733" s="360"/>
      <c r="E733" s="528"/>
    </row>
    <row r="734" spans="1:5">
      <c r="A734" s="360"/>
      <c r="B734" s="360"/>
      <c r="C734" s="360"/>
      <c r="D734" s="360"/>
      <c r="E734" s="528"/>
    </row>
    <row r="735" spans="1:5">
      <c r="A735" s="360"/>
      <c r="B735" s="360"/>
      <c r="C735" s="360"/>
      <c r="D735" s="360"/>
      <c r="E735" s="528"/>
    </row>
    <row r="736" spans="1:5">
      <c r="A736" s="360"/>
      <c r="B736" s="360"/>
      <c r="C736" s="360"/>
      <c r="D736" s="360"/>
      <c r="E736" s="528"/>
    </row>
    <row r="737" spans="1:5">
      <c r="A737" s="360"/>
      <c r="B737" s="360"/>
      <c r="C737" s="360"/>
      <c r="D737" s="360"/>
      <c r="E737" s="528"/>
    </row>
    <row r="738" spans="1:5">
      <c r="A738" s="360"/>
      <c r="B738" s="360"/>
      <c r="C738" s="360"/>
      <c r="D738" s="360"/>
      <c r="E738" s="528"/>
    </row>
    <row r="739" spans="1:5">
      <c r="A739" s="360"/>
      <c r="B739" s="360"/>
      <c r="C739" s="360"/>
      <c r="D739" s="360"/>
      <c r="E739" s="528"/>
    </row>
    <row r="740" spans="1:5">
      <c r="A740" s="360"/>
      <c r="B740" s="360"/>
      <c r="C740" s="360"/>
      <c r="D740" s="360"/>
      <c r="E740" s="528"/>
    </row>
    <row r="741" spans="1:5">
      <c r="A741" s="360"/>
      <c r="B741" s="360"/>
      <c r="C741" s="360"/>
      <c r="D741" s="360"/>
      <c r="E741" s="528"/>
    </row>
    <row r="742" spans="1:5">
      <c r="A742" s="360"/>
      <c r="B742" s="360"/>
      <c r="C742" s="360"/>
      <c r="D742" s="360"/>
      <c r="E742" s="528"/>
    </row>
    <row r="743" spans="1:5">
      <c r="A743" s="360"/>
      <c r="B743" s="360"/>
      <c r="C743" s="360"/>
      <c r="D743" s="360"/>
      <c r="E743" s="528"/>
    </row>
    <row r="744" spans="1:5">
      <c r="A744" s="360"/>
      <c r="B744" s="360"/>
      <c r="C744" s="360"/>
      <c r="D744" s="360"/>
      <c r="E744" s="528"/>
    </row>
    <row r="745" spans="1:5">
      <c r="A745" s="360"/>
      <c r="B745" s="360"/>
      <c r="C745" s="360"/>
      <c r="D745" s="360"/>
      <c r="E745" s="528"/>
    </row>
    <row r="746" spans="1:5">
      <c r="A746" s="360"/>
      <c r="B746" s="360"/>
      <c r="C746" s="360"/>
      <c r="D746" s="360"/>
      <c r="E746" s="528"/>
    </row>
    <row r="747" spans="1:5">
      <c r="A747" s="360"/>
      <c r="B747" s="360"/>
      <c r="C747" s="360"/>
      <c r="D747" s="360"/>
      <c r="E747" s="528"/>
    </row>
    <row r="748" spans="1:5">
      <c r="A748" s="360"/>
      <c r="B748" s="360"/>
      <c r="C748" s="360"/>
      <c r="D748" s="360"/>
      <c r="E748" s="528"/>
    </row>
    <row r="749" spans="1:5">
      <c r="A749" s="360"/>
      <c r="B749" s="360"/>
      <c r="C749" s="360"/>
      <c r="D749" s="360"/>
      <c r="E749" s="528"/>
    </row>
    <row r="750" spans="1:5">
      <c r="A750" s="360"/>
      <c r="B750" s="360"/>
      <c r="C750" s="360"/>
      <c r="D750" s="360"/>
      <c r="E750" s="528"/>
    </row>
    <row r="751" spans="1:5">
      <c r="A751" s="360"/>
      <c r="B751" s="360"/>
      <c r="C751" s="360"/>
      <c r="D751" s="360"/>
      <c r="E751" s="528"/>
    </row>
    <row r="752" spans="1:5">
      <c r="A752" s="360"/>
      <c r="B752" s="360"/>
      <c r="C752" s="360"/>
      <c r="D752" s="360"/>
      <c r="E752" s="528"/>
    </row>
    <row r="753" spans="1:5">
      <c r="A753" s="360"/>
      <c r="B753" s="360"/>
      <c r="C753" s="360"/>
      <c r="D753" s="360"/>
      <c r="E753" s="528"/>
    </row>
    <row r="754" spans="1:5">
      <c r="A754" s="360"/>
      <c r="B754" s="360"/>
      <c r="C754" s="360"/>
      <c r="D754" s="360"/>
      <c r="E754" s="528"/>
    </row>
    <row r="755" spans="1:5">
      <c r="A755" s="360"/>
      <c r="B755" s="360"/>
      <c r="C755" s="360"/>
      <c r="D755" s="360"/>
      <c r="E755" s="528"/>
    </row>
    <row r="756" spans="1:5">
      <c r="A756" s="360"/>
      <c r="B756" s="360"/>
      <c r="C756" s="360"/>
      <c r="D756" s="360"/>
      <c r="E756" s="528"/>
    </row>
    <row r="757" spans="1:5">
      <c r="A757" s="360"/>
      <c r="B757" s="360"/>
      <c r="C757" s="360"/>
      <c r="D757" s="360"/>
      <c r="E757" s="528"/>
    </row>
    <row r="758" spans="1:5">
      <c r="A758" s="360"/>
      <c r="B758" s="360"/>
      <c r="C758" s="360"/>
      <c r="D758" s="360"/>
      <c r="E758" s="528"/>
    </row>
    <row r="759" spans="1:5">
      <c r="A759" s="360"/>
      <c r="B759" s="360"/>
      <c r="C759" s="360"/>
      <c r="D759" s="360"/>
      <c r="E759" s="528"/>
    </row>
    <row r="760" spans="1:5">
      <c r="A760" s="360"/>
      <c r="B760" s="360"/>
      <c r="C760" s="360"/>
      <c r="D760" s="360"/>
      <c r="E760" s="528"/>
    </row>
    <row r="761" spans="1:5">
      <c r="A761" s="360"/>
      <c r="B761" s="360"/>
      <c r="C761" s="360"/>
      <c r="D761" s="360"/>
      <c r="E761" s="528"/>
    </row>
    <row r="762" spans="1:5">
      <c r="A762" s="360"/>
      <c r="B762" s="360"/>
      <c r="C762" s="360"/>
      <c r="D762" s="360"/>
      <c r="E762" s="528"/>
    </row>
    <row r="763" spans="1:5">
      <c r="A763" s="360"/>
      <c r="B763" s="360"/>
      <c r="C763" s="360"/>
      <c r="D763" s="360"/>
      <c r="E763" s="528"/>
    </row>
    <row r="764" spans="1:5">
      <c r="A764" s="360"/>
      <c r="B764" s="360"/>
      <c r="C764" s="360"/>
      <c r="D764" s="360"/>
      <c r="E764" s="528"/>
    </row>
    <row r="765" spans="1:5">
      <c r="A765" s="360"/>
      <c r="B765" s="360"/>
      <c r="C765" s="360"/>
      <c r="D765" s="360"/>
      <c r="E765" s="528"/>
    </row>
    <row r="766" spans="1:5">
      <c r="A766" s="360"/>
      <c r="B766" s="360"/>
      <c r="C766" s="360"/>
      <c r="D766" s="360"/>
      <c r="E766" s="528"/>
    </row>
    <row r="767" spans="1:5">
      <c r="A767" s="360"/>
      <c r="B767" s="360"/>
      <c r="C767" s="360"/>
      <c r="D767" s="360"/>
      <c r="E767" s="528"/>
    </row>
    <row r="768" spans="1:5">
      <c r="A768" s="360"/>
      <c r="B768" s="360"/>
      <c r="C768" s="360"/>
      <c r="D768" s="360"/>
      <c r="E768" s="528"/>
    </row>
    <row r="769" spans="1:5">
      <c r="A769" s="360"/>
      <c r="B769" s="360"/>
      <c r="C769" s="360"/>
      <c r="D769" s="360"/>
      <c r="E769" s="528"/>
    </row>
    <row r="770" spans="1:5">
      <c r="A770" s="360"/>
      <c r="B770" s="360"/>
      <c r="C770" s="360"/>
      <c r="D770" s="360"/>
      <c r="E770" s="528"/>
    </row>
    <row r="771" spans="1:5">
      <c r="A771" s="360"/>
      <c r="B771" s="360"/>
      <c r="C771" s="360"/>
      <c r="D771" s="360"/>
      <c r="E771" s="528"/>
    </row>
    <row r="772" spans="1:5">
      <c r="A772" s="360"/>
      <c r="B772" s="360"/>
      <c r="C772" s="360"/>
      <c r="D772" s="360"/>
      <c r="E772" s="528"/>
    </row>
    <row r="773" spans="1:5">
      <c r="A773" s="360"/>
      <c r="B773" s="360"/>
      <c r="C773" s="360"/>
      <c r="D773" s="360"/>
      <c r="E773" s="528"/>
    </row>
    <row r="774" spans="1:5">
      <c r="A774" s="360"/>
      <c r="B774" s="360"/>
      <c r="C774" s="360"/>
      <c r="D774" s="360"/>
      <c r="E774" s="528"/>
    </row>
    <row r="775" spans="1:5">
      <c r="A775" s="360"/>
      <c r="B775" s="360"/>
      <c r="C775" s="360"/>
      <c r="D775" s="360"/>
      <c r="E775" s="528"/>
    </row>
    <row r="776" spans="1:5">
      <c r="A776" s="360"/>
      <c r="B776" s="360"/>
      <c r="C776" s="360"/>
      <c r="D776" s="360"/>
      <c r="E776" s="528"/>
    </row>
    <row r="777" spans="1:5">
      <c r="A777" s="360"/>
      <c r="B777" s="360"/>
      <c r="C777" s="360"/>
      <c r="D777" s="360"/>
      <c r="E777" s="528"/>
    </row>
    <row r="778" spans="1:5">
      <c r="A778" s="360"/>
      <c r="B778" s="360"/>
      <c r="C778" s="360"/>
      <c r="D778" s="360"/>
      <c r="E778" s="528"/>
    </row>
    <row r="779" spans="1:5">
      <c r="A779" s="360"/>
      <c r="B779" s="360"/>
      <c r="C779" s="360"/>
      <c r="D779" s="360"/>
      <c r="E779" s="528"/>
    </row>
    <row r="780" spans="1:5">
      <c r="A780" s="360"/>
      <c r="B780" s="360"/>
      <c r="C780" s="360"/>
      <c r="D780" s="360"/>
      <c r="E780" s="528"/>
    </row>
    <row r="781" spans="1:5">
      <c r="A781" s="360"/>
      <c r="B781" s="360"/>
      <c r="C781" s="360"/>
      <c r="D781" s="360"/>
      <c r="E781" s="528"/>
    </row>
    <row r="782" spans="1:5">
      <c r="A782" s="360"/>
      <c r="B782" s="360"/>
      <c r="C782" s="360"/>
      <c r="D782" s="360"/>
      <c r="E782" s="528"/>
    </row>
    <row r="783" spans="1:5">
      <c r="A783" s="360"/>
      <c r="B783" s="360"/>
      <c r="C783" s="360"/>
      <c r="D783" s="360"/>
      <c r="E783" s="528"/>
    </row>
    <row r="784" spans="1:5">
      <c r="A784" s="360"/>
      <c r="B784" s="360"/>
      <c r="C784" s="360"/>
      <c r="D784" s="360"/>
      <c r="E784" s="528"/>
    </row>
    <row r="785" spans="1:5">
      <c r="A785" s="360"/>
      <c r="B785" s="360"/>
      <c r="C785" s="360"/>
      <c r="D785" s="360"/>
      <c r="E785" s="528"/>
    </row>
    <row r="786" spans="1:5">
      <c r="A786" s="360"/>
      <c r="B786" s="360"/>
      <c r="C786" s="360"/>
      <c r="D786" s="360"/>
      <c r="E786" s="528"/>
    </row>
    <row r="787" spans="1:5">
      <c r="A787" s="360"/>
      <c r="B787" s="360"/>
      <c r="C787" s="360"/>
      <c r="D787" s="360"/>
      <c r="E787" s="528"/>
    </row>
    <row r="788" spans="1:5">
      <c r="A788" s="360"/>
      <c r="B788" s="360"/>
      <c r="C788" s="360"/>
      <c r="D788" s="360"/>
      <c r="E788" s="528"/>
    </row>
    <row r="789" spans="1:5">
      <c r="A789" s="360"/>
      <c r="B789" s="360"/>
      <c r="C789" s="360"/>
      <c r="D789" s="360"/>
      <c r="E789" s="528"/>
    </row>
    <row r="790" spans="1:5">
      <c r="A790" s="360"/>
      <c r="B790" s="360"/>
      <c r="C790" s="360"/>
      <c r="D790" s="360"/>
      <c r="E790" s="528"/>
    </row>
    <row r="791" spans="1:5">
      <c r="A791" s="360"/>
      <c r="B791" s="360"/>
      <c r="C791" s="360"/>
      <c r="D791" s="360"/>
      <c r="E791" s="528"/>
    </row>
    <row r="792" spans="1:5">
      <c r="A792" s="360"/>
      <c r="B792" s="360"/>
      <c r="C792" s="360"/>
      <c r="D792" s="360"/>
      <c r="E792" s="528"/>
    </row>
    <row r="793" spans="1:5">
      <c r="A793" s="360"/>
      <c r="B793" s="360"/>
      <c r="C793" s="360"/>
      <c r="D793" s="360"/>
      <c r="E793" s="528"/>
    </row>
    <row r="794" spans="1:5">
      <c r="A794" s="360"/>
      <c r="B794" s="360"/>
      <c r="C794" s="360"/>
      <c r="D794" s="360"/>
      <c r="E794" s="528"/>
    </row>
    <row r="795" spans="1:5">
      <c r="A795" s="360"/>
      <c r="B795" s="360"/>
      <c r="C795" s="360"/>
      <c r="D795" s="360"/>
      <c r="E795" s="528"/>
    </row>
    <row r="796" spans="1:5">
      <c r="A796" s="360"/>
      <c r="B796" s="360"/>
      <c r="C796" s="360"/>
      <c r="D796" s="360"/>
      <c r="E796" s="528"/>
    </row>
    <row r="797" spans="1:5">
      <c r="A797" s="360"/>
      <c r="B797" s="360"/>
      <c r="C797" s="360"/>
      <c r="D797" s="360"/>
      <c r="E797" s="528"/>
    </row>
    <row r="798" spans="1:5">
      <c r="A798" s="360"/>
      <c r="B798" s="360"/>
      <c r="C798" s="360"/>
      <c r="D798" s="360"/>
      <c r="E798" s="528"/>
    </row>
    <row r="799" spans="1:5">
      <c r="A799" s="360"/>
      <c r="B799" s="360"/>
      <c r="C799" s="360"/>
      <c r="D799" s="360"/>
      <c r="E799" s="528"/>
    </row>
    <row r="800" spans="1:5">
      <c r="A800" s="360"/>
      <c r="B800" s="360"/>
      <c r="C800" s="360"/>
      <c r="D800" s="360"/>
      <c r="E800" s="528"/>
    </row>
    <row r="801" spans="1:5">
      <c r="A801" s="360"/>
      <c r="B801" s="360"/>
      <c r="C801" s="360"/>
      <c r="D801" s="360"/>
      <c r="E801" s="528"/>
    </row>
    <row r="802" spans="1:5">
      <c r="A802" s="360"/>
      <c r="B802" s="360"/>
      <c r="C802" s="360"/>
      <c r="D802" s="360"/>
      <c r="E802" s="528"/>
    </row>
    <row r="803" spans="1:5">
      <c r="A803" s="360"/>
      <c r="B803" s="360"/>
      <c r="C803" s="360"/>
      <c r="D803" s="360"/>
      <c r="E803" s="528"/>
    </row>
    <row r="804" spans="1:5">
      <c r="A804" s="360"/>
      <c r="B804" s="360"/>
      <c r="C804" s="360"/>
      <c r="D804" s="360"/>
      <c r="E804" s="528"/>
    </row>
    <row r="805" spans="1:5">
      <c r="A805" s="360"/>
      <c r="B805" s="360"/>
      <c r="C805" s="360"/>
      <c r="D805" s="360"/>
      <c r="E805" s="528"/>
    </row>
    <row r="806" spans="1:5">
      <c r="A806" s="360"/>
      <c r="B806" s="360"/>
      <c r="C806" s="360"/>
      <c r="D806" s="360"/>
      <c r="E806" s="528"/>
    </row>
    <row r="807" spans="1:5">
      <c r="A807" s="360"/>
      <c r="B807" s="360"/>
      <c r="C807" s="360"/>
      <c r="D807" s="360"/>
      <c r="E807" s="528"/>
    </row>
    <row r="808" spans="1:5">
      <c r="A808" s="360"/>
      <c r="B808" s="360"/>
      <c r="C808" s="360"/>
      <c r="D808" s="360"/>
      <c r="E808" s="528"/>
    </row>
    <row r="809" spans="1:5">
      <c r="A809" s="360"/>
      <c r="B809" s="360"/>
      <c r="C809" s="360"/>
      <c r="D809" s="360"/>
      <c r="E809" s="528"/>
    </row>
    <row r="810" spans="1:5">
      <c r="A810" s="360"/>
      <c r="B810" s="360"/>
      <c r="C810" s="360"/>
      <c r="D810" s="360"/>
      <c r="E810" s="528"/>
    </row>
    <row r="811" spans="1:5">
      <c r="A811" s="360"/>
      <c r="B811" s="360"/>
      <c r="C811" s="360"/>
      <c r="D811" s="360"/>
      <c r="E811" s="528"/>
    </row>
    <row r="812" spans="1:5">
      <c r="A812" s="360"/>
      <c r="B812" s="360"/>
      <c r="C812" s="360"/>
      <c r="D812" s="360"/>
      <c r="E812" s="528"/>
    </row>
    <row r="813" spans="1:5">
      <c r="A813" s="360"/>
      <c r="B813" s="360"/>
      <c r="C813" s="360"/>
      <c r="D813" s="360"/>
      <c r="E813" s="528"/>
    </row>
    <row r="814" spans="1:5">
      <c r="A814" s="360"/>
      <c r="B814" s="360"/>
      <c r="C814" s="360"/>
      <c r="D814" s="360"/>
      <c r="E814" s="528"/>
    </row>
    <row r="815" spans="1:5">
      <c r="A815" s="360"/>
      <c r="B815" s="360"/>
      <c r="C815" s="360"/>
      <c r="D815" s="360"/>
      <c r="E815" s="528"/>
    </row>
    <row r="816" spans="1:5">
      <c r="A816" s="360"/>
      <c r="B816" s="360"/>
      <c r="C816" s="360"/>
      <c r="D816" s="360"/>
      <c r="E816" s="528"/>
    </row>
    <row r="817" spans="1:5">
      <c r="A817" s="360"/>
      <c r="B817" s="360"/>
      <c r="C817" s="360"/>
      <c r="D817" s="360"/>
      <c r="E817" s="528"/>
    </row>
    <row r="818" spans="1:5">
      <c r="A818" s="360"/>
      <c r="B818" s="360"/>
      <c r="C818" s="360"/>
      <c r="D818" s="360"/>
      <c r="E818" s="528"/>
    </row>
    <row r="819" spans="1:5">
      <c r="A819" s="360"/>
      <c r="B819" s="360"/>
      <c r="C819" s="360"/>
      <c r="D819" s="360"/>
      <c r="E819" s="528"/>
    </row>
    <row r="820" spans="1:5">
      <c r="A820" s="360"/>
      <c r="B820" s="360"/>
      <c r="C820" s="360"/>
      <c r="D820" s="360"/>
      <c r="E820" s="528"/>
    </row>
    <row r="821" spans="1:5">
      <c r="A821" s="360"/>
      <c r="B821" s="360"/>
      <c r="C821" s="360"/>
      <c r="D821" s="360"/>
      <c r="E821" s="528"/>
    </row>
    <row r="822" spans="1:5">
      <c r="A822" s="360"/>
      <c r="B822" s="360"/>
      <c r="C822" s="360"/>
      <c r="D822" s="360"/>
      <c r="E822" s="528"/>
    </row>
    <row r="823" spans="1:5">
      <c r="A823" s="360"/>
      <c r="B823" s="360"/>
      <c r="C823" s="360"/>
      <c r="D823" s="360"/>
      <c r="E823" s="528"/>
    </row>
    <row r="824" spans="1:5">
      <c r="A824" s="360"/>
      <c r="B824" s="360"/>
      <c r="C824" s="360"/>
      <c r="D824" s="360"/>
      <c r="E824" s="528"/>
    </row>
    <row r="825" spans="1:5">
      <c r="A825" s="360"/>
      <c r="B825" s="360"/>
      <c r="C825" s="360"/>
      <c r="D825" s="360"/>
      <c r="E825" s="528"/>
    </row>
    <row r="826" spans="1:5">
      <c r="A826" s="360"/>
      <c r="B826" s="360"/>
      <c r="C826" s="360"/>
      <c r="D826" s="360"/>
      <c r="E826" s="528"/>
    </row>
    <row r="827" spans="1:5">
      <c r="A827" s="360"/>
      <c r="B827" s="360"/>
      <c r="C827" s="360"/>
      <c r="D827" s="360"/>
      <c r="E827" s="528"/>
    </row>
    <row r="828" spans="1:5">
      <c r="A828" s="360"/>
      <c r="B828" s="360"/>
      <c r="C828" s="360"/>
      <c r="D828" s="360"/>
      <c r="E828" s="528"/>
    </row>
    <row r="829" spans="1:5">
      <c r="A829" s="360"/>
      <c r="B829" s="360"/>
      <c r="C829" s="360"/>
      <c r="D829" s="360"/>
      <c r="E829" s="528"/>
    </row>
    <row r="830" spans="1:5">
      <c r="A830" s="360"/>
      <c r="B830" s="360"/>
      <c r="C830" s="360"/>
      <c r="D830" s="360"/>
      <c r="E830" s="528"/>
    </row>
    <row r="831" spans="1:5">
      <c r="A831" s="360"/>
      <c r="B831" s="360"/>
      <c r="C831" s="360"/>
      <c r="D831" s="360"/>
      <c r="E831" s="528"/>
    </row>
    <row r="832" spans="1:5">
      <c r="A832" s="360"/>
      <c r="B832" s="360"/>
      <c r="C832" s="360"/>
      <c r="D832" s="360"/>
      <c r="E832" s="528"/>
    </row>
    <row r="833" spans="1:5">
      <c r="A833" s="360"/>
      <c r="B833" s="360"/>
      <c r="C833" s="360"/>
      <c r="D833" s="360"/>
      <c r="E833" s="528"/>
    </row>
    <row r="834" spans="1:5">
      <c r="A834" s="360"/>
      <c r="B834" s="360"/>
      <c r="C834" s="360"/>
      <c r="D834" s="360"/>
      <c r="E834" s="528"/>
    </row>
    <row r="835" spans="1:5">
      <c r="A835" s="360"/>
      <c r="B835" s="360"/>
      <c r="C835" s="360"/>
      <c r="D835" s="360"/>
      <c r="E835" s="528"/>
    </row>
    <row r="836" spans="1:5">
      <c r="A836" s="360"/>
      <c r="B836" s="360"/>
      <c r="C836" s="360"/>
      <c r="D836" s="360"/>
      <c r="E836" s="528"/>
    </row>
    <row r="837" spans="1:5">
      <c r="A837" s="360"/>
      <c r="B837" s="360"/>
      <c r="C837" s="360"/>
      <c r="D837" s="360"/>
      <c r="E837" s="528"/>
    </row>
    <row r="838" spans="1:5">
      <c r="A838" s="360"/>
      <c r="B838" s="360"/>
      <c r="C838" s="360"/>
      <c r="D838" s="360"/>
      <c r="E838" s="528"/>
    </row>
    <row r="839" spans="1:5">
      <c r="A839" s="360"/>
      <c r="B839" s="360"/>
      <c r="C839" s="360"/>
      <c r="D839" s="360"/>
      <c r="E839" s="528"/>
    </row>
    <row r="840" spans="1:5">
      <c r="A840" s="360"/>
      <c r="B840" s="360"/>
      <c r="C840" s="360"/>
      <c r="D840" s="360"/>
      <c r="E840" s="528"/>
    </row>
    <row r="841" spans="1:5">
      <c r="A841" s="360"/>
      <c r="B841" s="360"/>
      <c r="C841" s="360"/>
      <c r="D841" s="360"/>
      <c r="E841" s="528"/>
    </row>
    <row r="842" spans="1:5">
      <c r="A842" s="360"/>
      <c r="B842" s="360"/>
      <c r="C842" s="360"/>
      <c r="D842" s="360"/>
      <c r="E842" s="528"/>
    </row>
    <row r="843" spans="1:5">
      <c r="A843" s="360"/>
      <c r="B843" s="360"/>
      <c r="C843" s="360"/>
      <c r="D843" s="360"/>
      <c r="E843" s="528"/>
    </row>
    <row r="844" spans="1:5">
      <c r="A844" s="360"/>
      <c r="B844" s="360"/>
      <c r="C844" s="360"/>
      <c r="D844" s="360"/>
      <c r="E844" s="528"/>
    </row>
    <row r="845" spans="1:5">
      <c r="A845" s="360"/>
      <c r="B845" s="360"/>
      <c r="C845" s="360"/>
      <c r="D845" s="360"/>
      <c r="E845" s="528"/>
    </row>
    <row r="846" spans="1:5">
      <c r="A846" s="360"/>
      <c r="B846" s="360"/>
      <c r="C846" s="360"/>
      <c r="D846" s="360"/>
      <c r="E846" s="528"/>
    </row>
    <row r="847" spans="1:5">
      <c r="A847" s="360"/>
      <c r="B847" s="360"/>
      <c r="C847" s="360"/>
      <c r="D847" s="360"/>
      <c r="E847" s="528"/>
    </row>
    <row r="848" spans="1:5">
      <c r="A848" s="360"/>
      <c r="B848" s="360"/>
      <c r="C848" s="360"/>
      <c r="D848" s="360"/>
      <c r="E848" s="528"/>
    </row>
    <row r="849" spans="1:5">
      <c r="A849" s="360"/>
      <c r="B849" s="360"/>
      <c r="C849" s="360"/>
      <c r="D849" s="360"/>
      <c r="E849" s="528"/>
    </row>
    <row r="850" spans="1:5">
      <c r="A850" s="360"/>
      <c r="B850" s="360"/>
      <c r="C850" s="360"/>
      <c r="D850" s="360"/>
      <c r="E850" s="528"/>
    </row>
    <row r="851" spans="1:5">
      <c r="A851" s="360"/>
      <c r="B851" s="360"/>
      <c r="C851" s="360"/>
      <c r="D851" s="360"/>
      <c r="E851" s="528"/>
    </row>
    <row r="852" spans="1:5">
      <c r="A852" s="360"/>
      <c r="B852" s="360"/>
      <c r="C852" s="360"/>
      <c r="D852" s="360"/>
      <c r="E852" s="528"/>
    </row>
    <row r="853" spans="1:5">
      <c r="A853" s="360"/>
      <c r="B853" s="360"/>
      <c r="C853" s="360"/>
      <c r="D853" s="360"/>
      <c r="E853" s="528"/>
    </row>
    <row r="854" spans="1:5">
      <c r="A854" s="360"/>
      <c r="B854" s="360"/>
      <c r="C854" s="360"/>
      <c r="D854" s="360"/>
      <c r="E854" s="528"/>
    </row>
    <row r="855" spans="1:5">
      <c r="A855" s="360"/>
      <c r="B855" s="360"/>
      <c r="C855" s="360"/>
      <c r="D855" s="360"/>
      <c r="E855" s="528"/>
    </row>
    <row r="856" spans="1:5">
      <c r="A856" s="360"/>
      <c r="B856" s="360"/>
      <c r="C856" s="360"/>
      <c r="D856" s="360"/>
      <c r="E856" s="528"/>
    </row>
    <row r="857" spans="1:5">
      <c r="A857" s="360"/>
      <c r="B857" s="360"/>
      <c r="C857" s="360"/>
      <c r="D857" s="360"/>
      <c r="E857" s="528"/>
    </row>
    <row r="858" spans="1:5">
      <c r="A858" s="360"/>
      <c r="B858" s="360"/>
      <c r="C858" s="360"/>
      <c r="D858" s="360"/>
      <c r="E858" s="528"/>
    </row>
    <row r="859" spans="1:5">
      <c r="A859" s="360"/>
      <c r="B859" s="360"/>
      <c r="C859" s="360"/>
      <c r="D859" s="360"/>
      <c r="E859" s="528"/>
    </row>
    <row r="860" spans="1:5">
      <c r="A860" s="360"/>
      <c r="B860" s="360"/>
      <c r="C860" s="360"/>
      <c r="D860" s="360"/>
      <c r="E860" s="528"/>
    </row>
    <row r="861" spans="1:5">
      <c r="A861" s="360"/>
      <c r="B861" s="360"/>
      <c r="C861" s="360"/>
      <c r="D861" s="360"/>
      <c r="E861" s="528"/>
    </row>
    <row r="862" spans="1:5">
      <c r="A862" s="360"/>
      <c r="B862" s="360"/>
      <c r="C862" s="360"/>
      <c r="D862" s="360"/>
      <c r="E862" s="528"/>
    </row>
    <row r="863" spans="1:5">
      <c r="A863" s="360"/>
      <c r="B863" s="360"/>
      <c r="C863" s="360"/>
      <c r="D863" s="360"/>
      <c r="E863" s="528"/>
    </row>
    <row r="864" spans="1:5">
      <c r="A864" s="360"/>
      <c r="B864" s="360"/>
      <c r="C864" s="360"/>
      <c r="D864" s="360"/>
      <c r="E864" s="528"/>
    </row>
    <row r="865" spans="1:5">
      <c r="A865" s="360"/>
      <c r="B865" s="360"/>
      <c r="C865" s="360"/>
      <c r="D865" s="360"/>
      <c r="E865" s="528"/>
    </row>
    <row r="866" spans="1:5">
      <c r="A866" s="360"/>
      <c r="B866" s="360"/>
      <c r="C866" s="360"/>
      <c r="D866" s="360"/>
      <c r="E866" s="528"/>
    </row>
    <row r="867" spans="1:5">
      <c r="A867" s="360"/>
      <c r="B867" s="360"/>
      <c r="C867" s="360"/>
      <c r="D867" s="360"/>
      <c r="E867" s="528"/>
    </row>
    <row r="868" spans="1:5">
      <c r="A868" s="360"/>
      <c r="B868" s="360"/>
      <c r="C868" s="360"/>
      <c r="D868" s="360"/>
      <c r="E868" s="528"/>
    </row>
    <row r="869" spans="1:5">
      <c r="A869" s="360"/>
      <c r="B869" s="360"/>
      <c r="C869" s="360"/>
      <c r="D869" s="360"/>
      <c r="E869" s="528"/>
    </row>
    <row r="870" spans="1:5">
      <c r="A870" s="360"/>
      <c r="B870" s="360"/>
      <c r="C870" s="360"/>
      <c r="D870" s="360"/>
      <c r="E870" s="528"/>
    </row>
    <row r="871" spans="1:5">
      <c r="A871" s="360"/>
      <c r="B871" s="360"/>
      <c r="C871" s="360"/>
      <c r="D871" s="360"/>
      <c r="E871" s="528"/>
    </row>
    <row r="872" spans="1:5">
      <c r="A872" s="360"/>
      <c r="B872" s="360"/>
      <c r="C872" s="360"/>
      <c r="D872" s="360"/>
      <c r="E872" s="528"/>
    </row>
    <row r="873" spans="1:5">
      <c r="A873" s="360"/>
      <c r="B873" s="360"/>
      <c r="C873" s="360"/>
      <c r="D873" s="360"/>
      <c r="E873" s="528"/>
    </row>
    <row r="874" spans="1:5">
      <c r="A874" s="360"/>
      <c r="B874" s="360"/>
      <c r="C874" s="360"/>
      <c r="D874" s="360"/>
      <c r="E874" s="528"/>
    </row>
    <row r="875" spans="1:5">
      <c r="A875" s="360"/>
      <c r="B875" s="360"/>
      <c r="C875" s="360"/>
      <c r="D875" s="360"/>
      <c r="E875" s="528"/>
    </row>
    <row r="876" spans="1:5">
      <c r="A876" s="360"/>
      <c r="B876" s="360"/>
      <c r="C876" s="360"/>
      <c r="D876" s="360"/>
      <c r="E876" s="528"/>
    </row>
    <row r="877" spans="1:5">
      <c r="A877" s="360"/>
      <c r="B877" s="360"/>
      <c r="C877" s="360"/>
      <c r="D877" s="360"/>
      <c r="E877" s="528"/>
    </row>
    <row r="878" spans="1:5">
      <c r="A878" s="360"/>
      <c r="B878" s="360"/>
      <c r="C878" s="360"/>
      <c r="D878" s="360"/>
      <c r="E878" s="528"/>
    </row>
    <row r="879" spans="1:5">
      <c r="A879" s="360"/>
      <c r="B879" s="360"/>
      <c r="C879" s="360"/>
      <c r="D879" s="360"/>
      <c r="E879" s="528"/>
    </row>
  </sheetData>
  <mergeCells count="177">
    <mergeCell ref="D104:D105"/>
    <mergeCell ref="E104:E105"/>
    <mergeCell ref="A99:A105"/>
    <mergeCell ref="D1:E3"/>
    <mergeCell ref="A4:D5"/>
    <mergeCell ref="A7:A8"/>
    <mergeCell ref="B7:B8"/>
    <mergeCell ref="C7:C8"/>
    <mergeCell ref="D7:D8"/>
    <mergeCell ref="E7:E8"/>
    <mergeCell ref="B24:B25"/>
    <mergeCell ref="B26:C26"/>
    <mergeCell ref="B27:B29"/>
    <mergeCell ref="D27:D29"/>
    <mergeCell ref="B31:C31"/>
    <mergeCell ref="B32:B33"/>
    <mergeCell ref="A11:A47"/>
    <mergeCell ref="B12:C12"/>
    <mergeCell ref="B13:B14"/>
    <mergeCell ref="C13:C14"/>
    <mergeCell ref="B15:C15"/>
    <mergeCell ref="B17:C17"/>
    <mergeCell ref="B18:B20"/>
    <mergeCell ref="C18:C20"/>
    <mergeCell ref="B21:C21"/>
    <mergeCell ref="B23:C23"/>
    <mergeCell ref="B45:C45"/>
    <mergeCell ref="B47:C47"/>
    <mergeCell ref="A49:A53"/>
    <mergeCell ref="B50:C50"/>
    <mergeCell ref="B53:C53"/>
    <mergeCell ref="B54:B55"/>
    <mergeCell ref="B34:C34"/>
    <mergeCell ref="B36:C36"/>
    <mergeCell ref="B38:C38"/>
    <mergeCell ref="B40:C40"/>
    <mergeCell ref="B41:C41"/>
    <mergeCell ref="B42:B43"/>
    <mergeCell ref="A57:A60"/>
    <mergeCell ref="B58:C58"/>
    <mergeCell ref="B60:C60"/>
    <mergeCell ref="A62:A91"/>
    <mergeCell ref="B63:C63"/>
    <mergeCell ref="B64:B67"/>
    <mergeCell ref="B78:C78"/>
    <mergeCell ref="B79:B81"/>
    <mergeCell ref="C79:C80"/>
    <mergeCell ref="B82:C82"/>
    <mergeCell ref="B83:B85"/>
    <mergeCell ref="B87:C87"/>
    <mergeCell ref="B88:B90"/>
    <mergeCell ref="B91:C91"/>
    <mergeCell ref="A93:A97"/>
    <mergeCell ref="B94:C94"/>
    <mergeCell ref="B95:C95"/>
    <mergeCell ref="B96:B97"/>
    <mergeCell ref="D65:D66"/>
    <mergeCell ref="B68:C68"/>
    <mergeCell ref="B70:C70"/>
    <mergeCell ref="B72:C72"/>
    <mergeCell ref="B74:C74"/>
    <mergeCell ref="B76:C76"/>
    <mergeCell ref="B100:C100"/>
    <mergeCell ref="B103:C103"/>
    <mergeCell ref="A107:A127"/>
    <mergeCell ref="B108:C108"/>
    <mergeCell ref="B109:B110"/>
    <mergeCell ref="C109:C110"/>
    <mergeCell ref="B111:C111"/>
    <mergeCell ref="B113:C113"/>
    <mergeCell ref="B124:C124"/>
    <mergeCell ref="B126:C126"/>
    <mergeCell ref="B101:B102"/>
    <mergeCell ref="B104:B105"/>
    <mergeCell ref="A129:A133"/>
    <mergeCell ref="B130:C130"/>
    <mergeCell ref="B132:C132"/>
    <mergeCell ref="A135:A138"/>
    <mergeCell ref="B136:C136"/>
    <mergeCell ref="B138:C138"/>
    <mergeCell ref="B114:B115"/>
    <mergeCell ref="B116:C116"/>
    <mergeCell ref="B118:C118"/>
    <mergeCell ref="B119:B121"/>
    <mergeCell ref="C119:C120"/>
    <mergeCell ref="B122:C122"/>
    <mergeCell ref="A151:A157"/>
    <mergeCell ref="B152:C152"/>
    <mergeCell ref="D153:D154"/>
    <mergeCell ref="D155:D156"/>
    <mergeCell ref="B157:C157"/>
    <mergeCell ref="B158:B161"/>
    <mergeCell ref="D160:D161"/>
    <mergeCell ref="A139:A150"/>
    <mergeCell ref="B140:C140"/>
    <mergeCell ref="B141:B144"/>
    <mergeCell ref="C141:C143"/>
    <mergeCell ref="B145:C145"/>
    <mergeCell ref="B147:C147"/>
    <mergeCell ref="B148:B149"/>
    <mergeCell ref="B150:C150"/>
    <mergeCell ref="A163:A166"/>
    <mergeCell ref="B164:C164"/>
    <mergeCell ref="B166:C166"/>
    <mergeCell ref="A168:A177"/>
    <mergeCell ref="B169:C169"/>
    <mergeCell ref="B170:B171"/>
    <mergeCell ref="B172:C172"/>
    <mergeCell ref="B174:C174"/>
    <mergeCell ref="B175:B176"/>
    <mergeCell ref="B177:C177"/>
    <mergeCell ref="B198:C198"/>
    <mergeCell ref="D199:D200"/>
    <mergeCell ref="B202:C202"/>
    <mergeCell ref="B204:C204"/>
    <mergeCell ref="B206:C206"/>
    <mergeCell ref="B208:C208"/>
    <mergeCell ref="A179:A217"/>
    <mergeCell ref="B180:C180"/>
    <mergeCell ref="B182:C182"/>
    <mergeCell ref="B184:C184"/>
    <mergeCell ref="B186:C186"/>
    <mergeCell ref="B188:C188"/>
    <mergeCell ref="B190:C190"/>
    <mergeCell ref="B192:C192"/>
    <mergeCell ref="B194:C194"/>
    <mergeCell ref="B196:C196"/>
    <mergeCell ref="B232:C232"/>
    <mergeCell ref="B234:C234"/>
    <mergeCell ref="B236:C236"/>
    <mergeCell ref="A238:A241"/>
    <mergeCell ref="B239:C239"/>
    <mergeCell ref="B241:C241"/>
    <mergeCell ref="B212:C212"/>
    <mergeCell ref="B215:C215"/>
    <mergeCell ref="A219:A236"/>
    <mergeCell ref="B220:C220"/>
    <mergeCell ref="B222:C222"/>
    <mergeCell ref="B224:C224"/>
    <mergeCell ref="B226:C226"/>
    <mergeCell ref="B228:C228"/>
    <mergeCell ref="B229:B231"/>
    <mergeCell ref="C229:C231"/>
    <mergeCell ref="B243:C243"/>
    <mergeCell ref="B245:C245"/>
    <mergeCell ref="B248:C248"/>
    <mergeCell ref="B249:B250"/>
    <mergeCell ref="B251:C251"/>
    <mergeCell ref="A252:A259"/>
    <mergeCell ref="B253:C253"/>
    <mergeCell ref="B255:C255"/>
    <mergeCell ref="B257:C257"/>
    <mergeCell ref="B259:C259"/>
    <mergeCell ref="A274:A285"/>
    <mergeCell ref="B275:C275"/>
    <mergeCell ref="B277:C277"/>
    <mergeCell ref="B279:C279"/>
    <mergeCell ref="B281:C281"/>
    <mergeCell ref="B283:C283"/>
    <mergeCell ref="B285:C285"/>
    <mergeCell ref="B262:C262"/>
    <mergeCell ref="B264:C264"/>
    <mergeCell ref="A265:A272"/>
    <mergeCell ref="B266:C266"/>
    <mergeCell ref="B267:B271"/>
    <mergeCell ref="B272:C272"/>
    <mergeCell ref="A297:C297"/>
    <mergeCell ref="A298:C298"/>
    <mergeCell ref="A299:C299"/>
    <mergeCell ref="A300:C300"/>
    <mergeCell ref="A287:A291"/>
    <mergeCell ref="B288:C288"/>
    <mergeCell ref="B289:B290"/>
    <mergeCell ref="B291:C291"/>
    <mergeCell ref="A293:A296"/>
    <mergeCell ref="B294:C294"/>
    <mergeCell ref="B296:C296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Footer>Strona &amp;P z &amp;N</oddFooter>
  </headerFooter>
  <rowBreaks count="9" manualBreakCount="9">
    <brk id="38" max="4" man="1"/>
    <brk id="76" max="4" man="1"/>
    <brk id="97" max="4" man="1"/>
    <brk id="116" max="16383" man="1"/>
    <brk id="150" max="16383" man="1"/>
    <brk id="177" max="16383" man="1"/>
    <brk id="217" max="16383" man="1"/>
    <brk id="259" max="16383" man="1"/>
    <brk id="3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L1776"/>
  <sheetViews>
    <sheetView showGridLines="0" view="pageBreakPreview" zoomScaleNormal="110" zoomScaleSheetLayoutView="100" workbookViewId="0">
      <selection activeCell="J2" sqref="J2"/>
    </sheetView>
  </sheetViews>
  <sheetFormatPr defaultRowHeight="12.75"/>
  <cols>
    <col min="1" max="1" width="5.5703125" style="201" bestFit="1" customWidth="1"/>
    <col min="2" max="2" width="7.85546875" style="201" hidden="1" customWidth="1"/>
    <col min="3" max="3" width="11.42578125" style="201" customWidth="1"/>
    <col min="4" max="4" width="12.85546875" style="201" bestFit="1" customWidth="1"/>
    <col min="5" max="5" width="71.85546875" style="201" customWidth="1"/>
    <col min="6" max="6" width="14.140625" style="201" customWidth="1"/>
    <col min="7" max="7" width="4.28515625" style="201" customWidth="1"/>
    <col min="8" max="8" width="15.28515625" style="201" bestFit="1" customWidth="1"/>
    <col min="9" max="10" width="12" style="201" bestFit="1" customWidth="1"/>
    <col min="11" max="11" width="13.140625" style="201" customWidth="1"/>
    <col min="12" max="16384" width="9.140625" style="201"/>
  </cols>
  <sheetData>
    <row r="1" spans="1:6" ht="46.5" customHeight="1">
      <c r="A1" s="200"/>
      <c r="B1" s="200"/>
      <c r="C1" s="200"/>
      <c r="D1" s="200"/>
      <c r="E1" s="1258" t="s">
        <v>1082</v>
      </c>
      <c r="F1" s="1259"/>
    </row>
    <row r="2" spans="1:6" ht="17.25" customHeight="1">
      <c r="A2" s="200"/>
      <c r="B2" s="200"/>
      <c r="C2" s="200"/>
      <c r="D2" s="200"/>
      <c r="E2" s="547"/>
      <c r="F2" s="548"/>
    </row>
    <row r="3" spans="1:6" s="202" customFormat="1" ht="40.5" customHeight="1">
      <c r="A3" s="1260" t="s">
        <v>134</v>
      </c>
      <c r="B3" s="1260"/>
      <c r="C3" s="1260"/>
      <c r="D3" s="1260"/>
      <c r="E3" s="1260"/>
      <c r="F3" s="1260"/>
    </row>
    <row r="4" spans="1:6" ht="42.75" customHeight="1">
      <c r="A4" s="203" t="s">
        <v>0</v>
      </c>
      <c r="B4" s="1261" t="s">
        <v>1</v>
      </c>
      <c r="C4" s="1262"/>
      <c r="D4" s="567" t="s">
        <v>5</v>
      </c>
      <c r="E4" s="567" t="s">
        <v>135</v>
      </c>
      <c r="F4" s="204" t="s">
        <v>136</v>
      </c>
    </row>
    <row r="5" spans="1:6" ht="17.100000000000001" customHeight="1">
      <c r="A5" s="568" t="s">
        <v>137</v>
      </c>
      <c r="B5" s="569"/>
      <c r="C5" s="570" t="s">
        <v>138</v>
      </c>
      <c r="D5" s="571" t="s">
        <v>139</v>
      </c>
      <c r="E5" s="571" t="s">
        <v>140</v>
      </c>
      <c r="F5" s="204" t="s">
        <v>141</v>
      </c>
    </row>
    <row r="6" spans="1:6" ht="17.100000000000001" customHeight="1">
      <c r="A6" s="572" t="s">
        <v>142</v>
      </c>
      <c r="B6" s="1263"/>
      <c r="C6" s="1264"/>
      <c r="D6" s="573"/>
      <c r="E6" s="574" t="s">
        <v>143</v>
      </c>
      <c r="F6" s="205">
        <f>F7+F36+F66+F97+F101+F128+F144+F153</f>
        <v>63999325</v>
      </c>
    </row>
    <row r="7" spans="1:6" ht="17.100000000000001" customHeight="1">
      <c r="A7" s="575"/>
      <c r="B7" s="1265" t="s">
        <v>144</v>
      </c>
      <c r="C7" s="1266"/>
      <c r="D7" s="576"/>
      <c r="E7" s="577" t="s">
        <v>145</v>
      </c>
      <c r="F7" s="206">
        <f>F8</f>
        <v>9188870</v>
      </c>
    </row>
    <row r="8" spans="1:6" ht="17.100000000000001" customHeight="1">
      <c r="A8" s="575"/>
      <c r="B8" s="1267"/>
      <c r="C8" s="1268"/>
      <c r="D8" s="1271" t="s">
        <v>146</v>
      </c>
      <c r="E8" s="1272"/>
      <c r="F8" s="207">
        <f>F9+F34</f>
        <v>9188870</v>
      </c>
    </row>
    <row r="9" spans="1:6" ht="17.100000000000001" customHeight="1">
      <c r="A9" s="575"/>
      <c r="B9" s="1269"/>
      <c r="C9" s="1270"/>
      <c r="D9" s="1273" t="s">
        <v>147</v>
      </c>
      <c r="E9" s="1274"/>
      <c r="F9" s="208">
        <f>F10+F17</f>
        <v>9133470</v>
      </c>
    </row>
    <row r="10" spans="1:6" ht="17.100000000000001" customHeight="1">
      <c r="A10" s="575"/>
      <c r="B10" s="1269"/>
      <c r="C10" s="1270"/>
      <c r="D10" s="1275" t="s">
        <v>148</v>
      </c>
      <c r="E10" s="1276"/>
      <c r="F10" s="209">
        <f>SUM(F11:F15)</f>
        <v>7748526</v>
      </c>
    </row>
    <row r="11" spans="1:6" ht="17.100000000000001" customHeight="1">
      <c r="A11" s="575"/>
      <c r="B11" s="1277"/>
      <c r="C11" s="1278"/>
      <c r="D11" s="578" t="s">
        <v>149</v>
      </c>
      <c r="E11" s="579" t="s">
        <v>150</v>
      </c>
      <c r="F11" s="210">
        <v>5976890</v>
      </c>
    </row>
    <row r="12" spans="1:6" ht="17.100000000000001" customHeight="1">
      <c r="A12" s="575"/>
      <c r="B12" s="1277"/>
      <c r="C12" s="1278"/>
      <c r="D12" s="578" t="s">
        <v>151</v>
      </c>
      <c r="E12" s="579" t="s">
        <v>152</v>
      </c>
      <c r="F12" s="210">
        <v>527178</v>
      </c>
    </row>
    <row r="13" spans="1:6" ht="17.100000000000001" customHeight="1">
      <c r="A13" s="575"/>
      <c r="B13" s="1277"/>
      <c r="C13" s="1278"/>
      <c r="D13" s="578" t="s">
        <v>153</v>
      </c>
      <c r="E13" s="579" t="s">
        <v>154</v>
      </c>
      <c r="F13" s="210">
        <v>1073556</v>
      </c>
    </row>
    <row r="14" spans="1:6" ht="17.100000000000001" customHeight="1">
      <c r="A14" s="575"/>
      <c r="B14" s="1277"/>
      <c r="C14" s="1278"/>
      <c r="D14" s="578" t="s">
        <v>155</v>
      </c>
      <c r="E14" s="579" t="s">
        <v>156</v>
      </c>
      <c r="F14" s="210">
        <v>108902</v>
      </c>
    </row>
    <row r="15" spans="1:6" ht="17.100000000000001" customHeight="1">
      <c r="A15" s="575"/>
      <c r="B15" s="1277"/>
      <c r="C15" s="1278"/>
      <c r="D15" s="578" t="s">
        <v>157</v>
      </c>
      <c r="E15" s="579" t="s">
        <v>158</v>
      </c>
      <c r="F15" s="210">
        <v>62000</v>
      </c>
    </row>
    <row r="16" spans="1:6" ht="17.100000000000001" customHeight="1">
      <c r="A16" s="575"/>
      <c r="B16" s="580"/>
      <c r="C16" s="550"/>
      <c r="D16" s="1277"/>
      <c r="E16" s="1281"/>
      <c r="F16" s="1282"/>
    </row>
    <row r="17" spans="1:6" ht="17.100000000000001" customHeight="1">
      <c r="A17" s="575"/>
      <c r="B17" s="580"/>
      <c r="C17" s="550"/>
      <c r="D17" s="1279" t="s">
        <v>159</v>
      </c>
      <c r="E17" s="1280"/>
      <c r="F17" s="209">
        <f>SUM(F18:F32)</f>
        <v>1384944</v>
      </c>
    </row>
    <row r="18" spans="1:6" ht="17.100000000000001" customHeight="1">
      <c r="A18" s="575"/>
      <c r="B18" s="580"/>
      <c r="C18" s="550"/>
      <c r="D18" s="578" t="s">
        <v>160</v>
      </c>
      <c r="E18" s="579" t="s">
        <v>161</v>
      </c>
      <c r="F18" s="210">
        <v>66000</v>
      </c>
    </row>
    <row r="19" spans="1:6" ht="17.100000000000001" customHeight="1">
      <c r="A19" s="575"/>
      <c r="B19" s="1277"/>
      <c r="C19" s="1278"/>
      <c r="D19" s="578" t="s">
        <v>162</v>
      </c>
      <c r="E19" s="579" t="s">
        <v>163</v>
      </c>
      <c r="F19" s="210">
        <v>284700</v>
      </c>
    </row>
    <row r="20" spans="1:6" ht="17.100000000000001" customHeight="1">
      <c r="A20" s="575"/>
      <c r="B20" s="1277"/>
      <c r="C20" s="1278"/>
      <c r="D20" s="578" t="s">
        <v>164</v>
      </c>
      <c r="E20" s="579" t="s">
        <v>165</v>
      </c>
      <c r="F20" s="210">
        <v>100000</v>
      </c>
    </row>
    <row r="21" spans="1:6" ht="17.100000000000001" customHeight="1">
      <c r="A21" s="575"/>
      <c r="B21" s="1277"/>
      <c r="C21" s="1278"/>
      <c r="D21" s="578" t="s">
        <v>166</v>
      </c>
      <c r="E21" s="579" t="s">
        <v>167</v>
      </c>
      <c r="F21" s="210">
        <v>68015</v>
      </c>
    </row>
    <row r="22" spans="1:6" ht="17.100000000000001" customHeight="1">
      <c r="A22" s="575"/>
      <c r="B22" s="1277"/>
      <c r="C22" s="1278"/>
      <c r="D22" s="578" t="s">
        <v>168</v>
      </c>
      <c r="E22" s="579" t="s">
        <v>169</v>
      </c>
      <c r="F22" s="210">
        <v>8450</v>
      </c>
    </row>
    <row r="23" spans="1:6" ht="17.100000000000001" customHeight="1">
      <c r="A23" s="575"/>
      <c r="B23" s="1277"/>
      <c r="C23" s="1278"/>
      <c r="D23" s="578" t="s">
        <v>170</v>
      </c>
      <c r="E23" s="579" t="s">
        <v>171</v>
      </c>
      <c r="F23" s="210">
        <v>174085</v>
      </c>
    </row>
    <row r="24" spans="1:6" ht="16.5" customHeight="1">
      <c r="A24" s="575"/>
      <c r="B24" s="1277"/>
      <c r="C24" s="1278"/>
      <c r="D24" s="578" t="s">
        <v>172</v>
      </c>
      <c r="E24" s="579" t="s">
        <v>173</v>
      </c>
      <c r="F24" s="210">
        <v>50000</v>
      </c>
    </row>
    <row r="25" spans="1:6" ht="20.100000000000001" customHeight="1">
      <c r="A25" s="575"/>
      <c r="B25" s="1277"/>
      <c r="C25" s="1278"/>
      <c r="D25" s="578" t="s">
        <v>174</v>
      </c>
      <c r="E25" s="579" t="s">
        <v>175</v>
      </c>
      <c r="F25" s="210">
        <v>290204</v>
      </c>
    </row>
    <row r="26" spans="1:6" ht="17.100000000000001" customHeight="1">
      <c r="A26" s="575"/>
      <c r="B26" s="1277"/>
      <c r="C26" s="1278"/>
      <c r="D26" s="578" t="s">
        <v>176</v>
      </c>
      <c r="E26" s="579" t="s">
        <v>177</v>
      </c>
      <c r="F26" s="210">
        <v>180000</v>
      </c>
    </row>
    <row r="27" spans="1:6" ht="17.100000000000001" customHeight="1">
      <c r="A27" s="575"/>
      <c r="B27" s="1277"/>
      <c r="C27" s="1278"/>
      <c r="D27" s="578" t="s">
        <v>178</v>
      </c>
      <c r="E27" s="579" t="s">
        <v>179</v>
      </c>
      <c r="F27" s="210">
        <v>21700</v>
      </c>
    </row>
    <row r="28" spans="1:6" ht="17.100000000000001" customHeight="1">
      <c r="A28" s="575"/>
      <c r="B28" s="1277"/>
      <c r="C28" s="1278"/>
      <c r="D28" s="578" t="s">
        <v>180</v>
      </c>
      <c r="E28" s="579" t="s">
        <v>181</v>
      </c>
      <c r="F28" s="210">
        <v>120661</v>
      </c>
    </row>
    <row r="29" spans="1:6" ht="17.100000000000001" customHeight="1">
      <c r="A29" s="575"/>
      <c r="B29" s="1277"/>
      <c r="C29" s="1278"/>
      <c r="D29" s="578" t="s">
        <v>182</v>
      </c>
      <c r="E29" s="579" t="s">
        <v>183</v>
      </c>
      <c r="F29" s="210">
        <v>2000</v>
      </c>
    </row>
    <row r="30" spans="1:6" ht="17.100000000000001" customHeight="1">
      <c r="A30" s="575"/>
      <c r="B30" s="580"/>
      <c r="C30" s="550"/>
      <c r="D30" s="578" t="s">
        <v>184</v>
      </c>
      <c r="E30" s="579" t="s">
        <v>185</v>
      </c>
      <c r="F30" s="210">
        <v>3500</v>
      </c>
    </row>
    <row r="31" spans="1:6" ht="17.100000000000001" customHeight="1">
      <c r="A31" s="575"/>
      <c r="B31" s="1277"/>
      <c r="C31" s="1278"/>
      <c r="D31" s="578" t="s">
        <v>186</v>
      </c>
      <c r="E31" s="579" t="s">
        <v>187</v>
      </c>
      <c r="F31" s="210">
        <v>629</v>
      </c>
    </row>
    <row r="32" spans="1:6" ht="17.100000000000001" customHeight="1">
      <c r="A32" s="575"/>
      <c r="B32" s="1277"/>
      <c r="C32" s="1278"/>
      <c r="D32" s="578" t="s">
        <v>188</v>
      </c>
      <c r="E32" s="579" t="s">
        <v>189</v>
      </c>
      <c r="F32" s="210">
        <v>15000</v>
      </c>
    </row>
    <row r="33" spans="1:6" ht="17.100000000000001" customHeight="1">
      <c r="A33" s="575"/>
      <c r="B33" s="580"/>
      <c r="C33" s="550"/>
      <c r="D33" s="1277"/>
      <c r="E33" s="1281"/>
      <c r="F33" s="1282"/>
    </row>
    <row r="34" spans="1:6" ht="17.100000000000001" customHeight="1">
      <c r="A34" s="575"/>
      <c r="B34" s="580"/>
      <c r="C34" s="550"/>
      <c r="D34" s="1285" t="s">
        <v>190</v>
      </c>
      <c r="E34" s="1286"/>
      <c r="F34" s="210">
        <f>F35</f>
        <v>55400</v>
      </c>
    </row>
    <row r="35" spans="1:6" ht="17.100000000000001" customHeight="1">
      <c r="A35" s="575"/>
      <c r="B35" s="580"/>
      <c r="C35" s="550"/>
      <c r="D35" s="578" t="s">
        <v>191</v>
      </c>
      <c r="E35" s="579" t="s">
        <v>192</v>
      </c>
      <c r="F35" s="210">
        <v>55400</v>
      </c>
    </row>
    <row r="36" spans="1:6" ht="17.100000000000001" customHeight="1">
      <c r="A36" s="575"/>
      <c r="B36" s="1265" t="s">
        <v>193</v>
      </c>
      <c r="C36" s="1266"/>
      <c r="D36" s="576"/>
      <c r="E36" s="577" t="s">
        <v>194</v>
      </c>
      <c r="F36" s="206">
        <f>F37</f>
        <v>11163029</v>
      </c>
    </row>
    <row r="37" spans="1:6" ht="17.100000000000001" customHeight="1">
      <c r="A37" s="575"/>
      <c r="B37" s="581"/>
      <c r="C37" s="549"/>
      <c r="D37" s="1271" t="s">
        <v>146</v>
      </c>
      <c r="E37" s="1272"/>
      <c r="F37" s="207">
        <f>F38+F64</f>
        <v>11163029</v>
      </c>
    </row>
    <row r="38" spans="1:6" ht="17.100000000000001" customHeight="1">
      <c r="A38" s="575"/>
      <c r="B38" s="580"/>
      <c r="C38" s="550"/>
      <c r="D38" s="1273" t="s">
        <v>147</v>
      </c>
      <c r="E38" s="1283"/>
      <c r="F38" s="210">
        <f>F39+F46</f>
        <v>11144823</v>
      </c>
    </row>
    <row r="39" spans="1:6" ht="17.100000000000001" customHeight="1">
      <c r="A39" s="575"/>
      <c r="B39" s="580"/>
      <c r="C39" s="550"/>
      <c r="D39" s="1275" t="s">
        <v>148</v>
      </c>
      <c r="E39" s="1284"/>
      <c r="F39" s="210">
        <f>SUM(F40:F44)</f>
        <v>9889850</v>
      </c>
    </row>
    <row r="40" spans="1:6" ht="17.100000000000001" customHeight="1">
      <c r="A40" s="575"/>
      <c r="B40" s="1277"/>
      <c r="C40" s="1278"/>
      <c r="D40" s="578" t="s">
        <v>149</v>
      </c>
      <c r="E40" s="579" t="s">
        <v>150</v>
      </c>
      <c r="F40" s="210">
        <v>7730641</v>
      </c>
    </row>
    <row r="41" spans="1:6" ht="17.100000000000001" customHeight="1">
      <c r="A41" s="575"/>
      <c r="B41" s="1277"/>
      <c r="C41" s="1278"/>
      <c r="D41" s="578" t="s">
        <v>151</v>
      </c>
      <c r="E41" s="579" t="s">
        <v>152</v>
      </c>
      <c r="F41" s="210">
        <v>634216</v>
      </c>
    </row>
    <row r="42" spans="1:6" ht="17.100000000000001" customHeight="1">
      <c r="A42" s="575"/>
      <c r="B42" s="1277"/>
      <c r="C42" s="1278"/>
      <c r="D42" s="578" t="s">
        <v>153</v>
      </c>
      <c r="E42" s="579" t="s">
        <v>154</v>
      </c>
      <c r="F42" s="210">
        <v>1363517</v>
      </c>
    </row>
    <row r="43" spans="1:6" ht="17.100000000000001" customHeight="1">
      <c r="A43" s="575"/>
      <c r="B43" s="1277"/>
      <c r="C43" s="1278"/>
      <c r="D43" s="578" t="s">
        <v>155</v>
      </c>
      <c r="E43" s="579" t="s">
        <v>156</v>
      </c>
      <c r="F43" s="210">
        <v>116976</v>
      </c>
    </row>
    <row r="44" spans="1:6" ht="17.100000000000001" customHeight="1">
      <c r="A44" s="575"/>
      <c r="B44" s="1277"/>
      <c r="C44" s="1278"/>
      <c r="D44" s="578" t="s">
        <v>157</v>
      </c>
      <c r="E44" s="579" t="s">
        <v>158</v>
      </c>
      <c r="F44" s="210">
        <v>44500</v>
      </c>
    </row>
    <row r="45" spans="1:6" ht="17.100000000000001" customHeight="1">
      <c r="A45" s="575"/>
      <c r="B45" s="580"/>
      <c r="C45" s="550"/>
      <c r="D45" s="1277"/>
      <c r="E45" s="1281"/>
      <c r="F45" s="1282"/>
    </row>
    <row r="46" spans="1:6" ht="17.100000000000001" customHeight="1">
      <c r="A46" s="575"/>
      <c r="B46" s="580"/>
      <c r="C46" s="550"/>
      <c r="D46" s="1279" t="s">
        <v>159</v>
      </c>
      <c r="E46" s="1280"/>
      <c r="F46" s="210">
        <f>SUM(F47:F62)</f>
        <v>1254973</v>
      </c>
    </row>
    <row r="47" spans="1:6" ht="17.100000000000001" customHeight="1">
      <c r="A47" s="575"/>
      <c r="B47" s="580"/>
      <c r="C47" s="550"/>
      <c r="D47" s="578" t="s">
        <v>160</v>
      </c>
      <c r="E47" s="579" t="s">
        <v>161</v>
      </c>
      <c r="F47" s="210">
        <v>114368</v>
      </c>
    </row>
    <row r="48" spans="1:6" ht="17.100000000000001" customHeight="1">
      <c r="A48" s="575"/>
      <c r="B48" s="1277"/>
      <c r="C48" s="1278"/>
      <c r="D48" s="578" t="s">
        <v>162</v>
      </c>
      <c r="E48" s="579" t="s">
        <v>163</v>
      </c>
      <c r="F48" s="210">
        <v>269500</v>
      </c>
    </row>
    <row r="49" spans="1:6" ht="17.100000000000001" customHeight="1">
      <c r="A49" s="575"/>
      <c r="B49" s="1277"/>
      <c r="C49" s="1278"/>
      <c r="D49" s="578" t="s">
        <v>164</v>
      </c>
      <c r="E49" s="579" t="s">
        <v>165</v>
      </c>
      <c r="F49" s="210">
        <f>186000</f>
        <v>186000</v>
      </c>
    </row>
    <row r="50" spans="1:6" ht="17.100000000000001" customHeight="1">
      <c r="A50" s="575"/>
      <c r="B50" s="1277"/>
      <c r="C50" s="1278"/>
      <c r="D50" s="578" t="s">
        <v>166</v>
      </c>
      <c r="E50" s="579" t="s">
        <v>167</v>
      </c>
      <c r="F50" s="210">
        <f>50000</f>
        <v>50000</v>
      </c>
    </row>
    <row r="51" spans="1:6" ht="17.100000000000001" customHeight="1">
      <c r="A51" s="575"/>
      <c r="B51" s="1277"/>
      <c r="C51" s="1278"/>
      <c r="D51" s="578" t="s">
        <v>168</v>
      </c>
      <c r="E51" s="579" t="s">
        <v>169</v>
      </c>
      <c r="F51" s="210">
        <v>8410</v>
      </c>
    </row>
    <row r="52" spans="1:6" ht="17.100000000000001" customHeight="1">
      <c r="A52" s="575"/>
      <c r="B52" s="1277"/>
      <c r="C52" s="1278"/>
      <c r="D52" s="578" t="s">
        <v>170</v>
      </c>
      <c r="E52" s="579" t="s">
        <v>171</v>
      </c>
      <c r="F52" s="210">
        <v>245429</v>
      </c>
    </row>
    <row r="53" spans="1:6" ht="16.5" customHeight="1">
      <c r="A53" s="575"/>
      <c r="B53" s="1277"/>
      <c r="C53" s="1278"/>
      <c r="D53" s="578" t="s">
        <v>172</v>
      </c>
      <c r="E53" s="579" t="s">
        <v>173</v>
      </c>
      <c r="F53" s="210">
        <v>62000</v>
      </c>
    </row>
    <row r="54" spans="1:6" ht="16.5" customHeight="1">
      <c r="A54" s="575"/>
      <c r="B54" s="1277"/>
      <c r="C54" s="1278"/>
      <c r="D54" s="578" t="s">
        <v>174</v>
      </c>
      <c r="E54" s="579" t="s">
        <v>175</v>
      </c>
      <c r="F54" s="210">
        <v>34000</v>
      </c>
    </row>
    <row r="55" spans="1:6" ht="17.100000000000001" customHeight="1">
      <c r="A55" s="575"/>
      <c r="B55" s="1277"/>
      <c r="C55" s="1278"/>
      <c r="D55" s="578" t="s">
        <v>176</v>
      </c>
      <c r="E55" s="579" t="s">
        <v>177</v>
      </c>
      <c r="F55" s="210">
        <v>10000</v>
      </c>
    </row>
    <row r="56" spans="1:6" ht="17.100000000000001" customHeight="1">
      <c r="A56" s="575"/>
      <c r="B56" s="1277"/>
      <c r="C56" s="1278"/>
      <c r="D56" s="578" t="s">
        <v>178</v>
      </c>
      <c r="E56" s="579" t="s">
        <v>179</v>
      </c>
      <c r="F56" s="210">
        <v>38000</v>
      </c>
    </row>
    <row r="57" spans="1:6" ht="17.100000000000001" customHeight="1">
      <c r="A57" s="575"/>
      <c r="B57" s="1277"/>
      <c r="C57" s="1278"/>
      <c r="D57" s="578" t="s">
        <v>180</v>
      </c>
      <c r="E57" s="579" t="s">
        <v>181</v>
      </c>
      <c r="F57" s="210">
        <v>162266</v>
      </c>
    </row>
    <row r="58" spans="1:6" ht="17.100000000000001" customHeight="1">
      <c r="A58" s="575"/>
      <c r="B58" s="1277"/>
      <c r="C58" s="1278"/>
      <c r="D58" s="578" t="s">
        <v>182</v>
      </c>
      <c r="E58" s="579" t="s">
        <v>183</v>
      </c>
      <c r="F58" s="210">
        <f>31000</f>
        <v>31000</v>
      </c>
    </row>
    <row r="59" spans="1:6" ht="17.100000000000001" customHeight="1">
      <c r="A59" s="575"/>
      <c r="B59" s="1277"/>
      <c r="C59" s="1278"/>
      <c r="D59" s="578" t="s">
        <v>184</v>
      </c>
      <c r="E59" s="579" t="s">
        <v>185</v>
      </c>
      <c r="F59" s="210">
        <v>1000</v>
      </c>
    </row>
    <row r="60" spans="1:6" ht="17.100000000000001" customHeight="1">
      <c r="A60" s="575"/>
      <c r="B60" s="1277"/>
      <c r="C60" s="1278"/>
      <c r="D60" s="578" t="s">
        <v>186</v>
      </c>
      <c r="E60" s="579" t="s">
        <v>187</v>
      </c>
      <c r="F60" s="210">
        <v>30000</v>
      </c>
    </row>
    <row r="61" spans="1:6" ht="17.100000000000001" customHeight="1">
      <c r="A61" s="575"/>
      <c r="B61" s="580"/>
      <c r="C61" s="550"/>
      <c r="D61" s="578" t="s">
        <v>195</v>
      </c>
      <c r="E61" s="579" t="s">
        <v>196</v>
      </c>
      <c r="F61" s="210">
        <v>1000</v>
      </c>
    </row>
    <row r="62" spans="1:6" ht="17.100000000000001" customHeight="1">
      <c r="A62" s="575"/>
      <c r="B62" s="1277"/>
      <c r="C62" s="1278"/>
      <c r="D62" s="578" t="s">
        <v>188</v>
      </c>
      <c r="E62" s="579" t="s">
        <v>189</v>
      </c>
      <c r="F62" s="210">
        <v>12000</v>
      </c>
    </row>
    <row r="63" spans="1:6" ht="17.100000000000001" customHeight="1">
      <c r="A63" s="575"/>
      <c r="B63" s="580"/>
      <c r="C63" s="550"/>
      <c r="D63" s="1277"/>
      <c r="E63" s="1281"/>
      <c r="F63" s="1282"/>
    </row>
    <row r="64" spans="1:6" ht="17.100000000000001" customHeight="1">
      <c r="A64" s="575"/>
      <c r="B64" s="580"/>
      <c r="C64" s="550"/>
      <c r="D64" s="1285" t="s">
        <v>190</v>
      </c>
      <c r="E64" s="1286"/>
      <c r="F64" s="210">
        <f>F65</f>
        <v>18206</v>
      </c>
    </row>
    <row r="65" spans="1:6" ht="17.100000000000001" customHeight="1">
      <c r="A65" s="575"/>
      <c r="B65" s="580"/>
      <c r="C65" s="550"/>
      <c r="D65" s="578" t="s">
        <v>191</v>
      </c>
      <c r="E65" s="579" t="s">
        <v>192</v>
      </c>
      <c r="F65" s="210">
        <v>18206</v>
      </c>
    </row>
    <row r="66" spans="1:6" ht="17.100000000000001" customHeight="1">
      <c r="A66" s="575"/>
      <c r="B66" s="1265" t="s">
        <v>197</v>
      </c>
      <c r="C66" s="1266"/>
      <c r="D66" s="576"/>
      <c r="E66" s="577" t="s">
        <v>198</v>
      </c>
      <c r="F66" s="206">
        <f>F67+F91</f>
        <v>8053000</v>
      </c>
    </row>
    <row r="67" spans="1:6" ht="17.100000000000001" customHeight="1">
      <c r="A67" s="575"/>
      <c r="B67" s="1267"/>
      <c r="C67" s="1287"/>
      <c r="D67" s="1271" t="s">
        <v>146</v>
      </c>
      <c r="E67" s="1272"/>
      <c r="F67" s="207">
        <f>F68+F88</f>
        <v>5074000</v>
      </c>
    </row>
    <row r="68" spans="1:6" ht="17.100000000000001" customHeight="1">
      <c r="A68" s="575"/>
      <c r="B68" s="1269"/>
      <c r="C68" s="1288"/>
      <c r="D68" s="1273" t="s">
        <v>147</v>
      </c>
      <c r="E68" s="1283"/>
      <c r="F68" s="210">
        <f>F69+F75</f>
        <v>5054520</v>
      </c>
    </row>
    <row r="69" spans="1:6" ht="17.100000000000001" customHeight="1">
      <c r="A69" s="575"/>
      <c r="B69" s="1269"/>
      <c r="C69" s="1288"/>
      <c r="D69" s="1275" t="s">
        <v>148</v>
      </c>
      <c r="E69" s="1284"/>
      <c r="F69" s="210">
        <f>F70+F72+F73+F71</f>
        <v>1396656</v>
      </c>
    </row>
    <row r="70" spans="1:6" ht="17.100000000000001" customHeight="1">
      <c r="A70" s="575"/>
      <c r="B70" s="1269"/>
      <c r="C70" s="1288"/>
      <c r="D70" s="578" t="s">
        <v>149</v>
      </c>
      <c r="E70" s="579" t="s">
        <v>150</v>
      </c>
      <c r="F70" s="210">
        <v>1099906</v>
      </c>
    </row>
    <row r="71" spans="1:6" ht="17.100000000000001" customHeight="1">
      <c r="A71" s="575"/>
      <c r="B71" s="1269"/>
      <c r="C71" s="1288"/>
      <c r="D71" s="578" t="s">
        <v>151</v>
      </c>
      <c r="E71" s="579" t="s">
        <v>152</v>
      </c>
      <c r="F71" s="210">
        <v>79106</v>
      </c>
    </row>
    <row r="72" spans="1:6" ht="17.100000000000001" customHeight="1">
      <c r="A72" s="575"/>
      <c r="B72" s="1269"/>
      <c r="C72" s="1288"/>
      <c r="D72" s="578" t="s">
        <v>153</v>
      </c>
      <c r="E72" s="579" t="s">
        <v>154</v>
      </c>
      <c r="F72" s="210">
        <v>193634</v>
      </c>
    </row>
    <row r="73" spans="1:6" ht="17.100000000000001" customHeight="1">
      <c r="A73" s="575"/>
      <c r="B73" s="1269"/>
      <c r="C73" s="1288"/>
      <c r="D73" s="578" t="s">
        <v>155</v>
      </c>
      <c r="E73" s="579" t="s">
        <v>156</v>
      </c>
      <c r="F73" s="210">
        <v>24010</v>
      </c>
    </row>
    <row r="74" spans="1:6" ht="17.100000000000001" customHeight="1">
      <c r="A74" s="575"/>
      <c r="B74" s="1269"/>
      <c r="C74" s="1288"/>
      <c r="D74" s="1277"/>
      <c r="E74" s="1291"/>
      <c r="F74" s="1292"/>
    </row>
    <row r="75" spans="1:6" ht="17.100000000000001" customHeight="1">
      <c r="A75" s="575"/>
      <c r="B75" s="1269"/>
      <c r="C75" s="1288"/>
      <c r="D75" s="1293" t="s">
        <v>159</v>
      </c>
      <c r="E75" s="1280"/>
      <c r="F75" s="210">
        <f>F76+F77+F78+F79+F80+F81+F82+F83+F84+F85+F86</f>
        <v>3657864</v>
      </c>
    </row>
    <row r="76" spans="1:6" ht="17.100000000000001" customHeight="1">
      <c r="A76" s="575"/>
      <c r="B76" s="1269"/>
      <c r="C76" s="1288"/>
      <c r="D76" s="211" t="s">
        <v>160</v>
      </c>
      <c r="E76" s="582" t="s">
        <v>161</v>
      </c>
      <c r="F76" s="210">
        <v>45756</v>
      </c>
    </row>
    <row r="77" spans="1:6" ht="17.100000000000001" customHeight="1">
      <c r="A77" s="575"/>
      <c r="B77" s="1269"/>
      <c r="C77" s="1288"/>
      <c r="D77" s="531" t="s">
        <v>162</v>
      </c>
      <c r="E77" s="579" t="s">
        <v>163</v>
      </c>
      <c r="F77" s="210">
        <f>40000</f>
        <v>40000</v>
      </c>
    </row>
    <row r="78" spans="1:6" ht="17.100000000000001" customHeight="1">
      <c r="A78" s="575"/>
      <c r="B78" s="1269"/>
      <c r="C78" s="1288"/>
      <c r="D78" s="578" t="s">
        <v>164</v>
      </c>
      <c r="E78" s="579" t="s">
        <v>165</v>
      </c>
      <c r="F78" s="210">
        <f>600000</f>
        <v>600000</v>
      </c>
    </row>
    <row r="79" spans="1:6" ht="17.100000000000001" customHeight="1">
      <c r="A79" s="575"/>
      <c r="B79" s="1269"/>
      <c r="C79" s="1288"/>
      <c r="D79" s="578" t="s">
        <v>166</v>
      </c>
      <c r="E79" s="579" t="s">
        <v>167</v>
      </c>
      <c r="F79" s="210">
        <v>2878058</v>
      </c>
    </row>
    <row r="80" spans="1:6" ht="17.100000000000001" customHeight="1">
      <c r="A80" s="575"/>
      <c r="B80" s="1269"/>
      <c r="C80" s="1288"/>
      <c r="D80" s="578" t="s">
        <v>168</v>
      </c>
      <c r="E80" s="579" t="s">
        <v>169</v>
      </c>
      <c r="F80" s="210">
        <v>1400</v>
      </c>
    </row>
    <row r="81" spans="1:6" ht="17.100000000000001" customHeight="1">
      <c r="A81" s="575"/>
      <c r="B81" s="1269"/>
      <c r="C81" s="1288"/>
      <c r="D81" s="578" t="s">
        <v>170</v>
      </c>
      <c r="E81" s="579" t="s">
        <v>171</v>
      </c>
      <c r="F81" s="210">
        <v>52400</v>
      </c>
    </row>
    <row r="82" spans="1:6" ht="16.5" customHeight="1">
      <c r="A82" s="575"/>
      <c r="B82" s="1269"/>
      <c r="C82" s="1288"/>
      <c r="D82" s="578" t="s">
        <v>172</v>
      </c>
      <c r="E82" s="579" t="s">
        <v>173</v>
      </c>
      <c r="F82" s="210">
        <v>1632</v>
      </c>
    </row>
    <row r="83" spans="1:6" ht="17.100000000000001" customHeight="1">
      <c r="A83" s="575"/>
      <c r="B83" s="1269"/>
      <c r="C83" s="1288"/>
      <c r="D83" s="578" t="s">
        <v>180</v>
      </c>
      <c r="E83" s="579" t="s">
        <v>181</v>
      </c>
      <c r="F83" s="210">
        <v>36373</v>
      </c>
    </row>
    <row r="84" spans="1:6" ht="17.100000000000001" customHeight="1">
      <c r="A84" s="575"/>
      <c r="B84" s="1269"/>
      <c r="C84" s="1288"/>
      <c r="D84" s="578" t="s">
        <v>182</v>
      </c>
      <c r="E84" s="579" t="s">
        <v>183</v>
      </c>
      <c r="F84" s="210">
        <v>1200</v>
      </c>
    </row>
    <row r="85" spans="1:6" ht="17.100000000000001" customHeight="1">
      <c r="A85" s="575"/>
      <c r="B85" s="1269"/>
      <c r="C85" s="1288"/>
      <c r="D85" s="583" t="s">
        <v>200</v>
      </c>
      <c r="E85" s="584" t="s">
        <v>201</v>
      </c>
      <c r="F85" s="585">
        <f>800</f>
        <v>800</v>
      </c>
    </row>
    <row r="86" spans="1:6" ht="17.100000000000001" customHeight="1">
      <c r="A86" s="575"/>
      <c r="B86" s="1269"/>
      <c r="C86" s="1288"/>
      <c r="D86" s="211" t="s">
        <v>188</v>
      </c>
      <c r="E86" s="579" t="s">
        <v>189</v>
      </c>
      <c r="F86" s="210">
        <v>245</v>
      </c>
    </row>
    <row r="87" spans="1:6" ht="17.100000000000001" customHeight="1">
      <c r="A87" s="575"/>
      <c r="B87" s="1269"/>
      <c r="C87" s="1288"/>
      <c r="D87" s="1294"/>
      <c r="E87" s="1295"/>
      <c r="F87" s="1296"/>
    </row>
    <row r="88" spans="1:6" ht="17.100000000000001" customHeight="1">
      <c r="A88" s="575"/>
      <c r="B88" s="1269"/>
      <c r="C88" s="1288"/>
      <c r="D88" s="1285" t="s">
        <v>190</v>
      </c>
      <c r="E88" s="1286"/>
      <c r="F88" s="586">
        <f>F89</f>
        <v>19480</v>
      </c>
    </row>
    <row r="89" spans="1:6" ht="17.100000000000001" customHeight="1">
      <c r="A89" s="575"/>
      <c r="B89" s="1269"/>
      <c r="C89" s="1288"/>
      <c r="D89" s="531" t="s">
        <v>191</v>
      </c>
      <c r="E89" s="532" t="s">
        <v>192</v>
      </c>
      <c r="F89" s="247">
        <v>19480</v>
      </c>
    </row>
    <row r="90" spans="1:6" ht="17.100000000000001" customHeight="1">
      <c r="A90" s="575"/>
      <c r="B90" s="1269"/>
      <c r="C90" s="1288"/>
      <c r="D90" s="1303"/>
      <c r="E90" s="1304"/>
      <c r="F90" s="1305"/>
    </row>
    <row r="91" spans="1:6" ht="17.100000000000001" customHeight="1">
      <c r="A91" s="575"/>
      <c r="B91" s="1269"/>
      <c r="C91" s="1288"/>
      <c r="D91" s="1306" t="s">
        <v>202</v>
      </c>
      <c r="E91" s="1307"/>
      <c r="F91" s="533">
        <f>F92</f>
        <v>2979000</v>
      </c>
    </row>
    <row r="92" spans="1:6" ht="17.100000000000001" customHeight="1">
      <c r="A92" s="575"/>
      <c r="B92" s="1269"/>
      <c r="C92" s="1288"/>
      <c r="D92" s="1285" t="s">
        <v>203</v>
      </c>
      <c r="E92" s="1286"/>
      <c r="F92" s="210">
        <f>SUM(F93:F93)</f>
        <v>2979000</v>
      </c>
    </row>
    <row r="93" spans="1:6" ht="17.100000000000001" customHeight="1">
      <c r="A93" s="575"/>
      <c r="B93" s="1269"/>
      <c r="C93" s="1288"/>
      <c r="D93" s="578" t="s">
        <v>204</v>
      </c>
      <c r="E93" s="579" t="s">
        <v>205</v>
      </c>
      <c r="F93" s="210">
        <v>2979000</v>
      </c>
    </row>
    <row r="94" spans="1:6" ht="17.100000000000001" customHeight="1">
      <c r="A94" s="575"/>
      <c r="B94" s="1289"/>
      <c r="C94" s="1290"/>
      <c r="D94" s="1308"/>
      <c r="E94" s="1309"/>
      <c r="F94" s="1310"/>
    </row>
    <row r="95" spans="1:6" ht="17.100000000000001" customHeight="1">
      <c r="A95" s="575"/>
      <c r="B95" s="1289"/>
      <c r="C95" s="1290"/>
      <c r="D95" s="1279" t="s">
        <v>206</v>
      </c>
      <c r="E95" s="1311"/>
      <c r="F95" s="210">
        <f>F96</f>
        <v>363000</v>
      </c>
    </row>
    <row r="96" spans="1:6" ht="17.100000000000001" customHeight="1">
      <c r="A96" s="575"/>
      <c r="B96" s="1289"/>
      <c r="C96" s="1290"/>
      <c r="D96" s="587" t="s">
        <v>204</v>
      </c>
      <c r="E96" s="588" t="s">
        <v>205</v>
      </c>
      <c r="F96" s="210">
        <v>363000</v>
      </c>
    </row>
    <row r="97" spans="1:6" ht="17.100000000000001" customHeight="1">
      <c r="A97" s="575"/>
      <c r="B97" s="1265" t="s">
        <v>207</v>
      </c>
      <c r="C97" s="1266"/>
      <c r="D97" s="576"/>
      <c r="E97" s="577" t="s">
        <v>208</v>
      </c>
      <c r="F97" s="206">
        <f>F98</f>
        <v>369000</v>
      </c>
    </row>
    <row r="98" spans="1:6" ht="17.100000000000001" customHeight="1">
      <c r="A98" s="575"/>
      <c r="B98" s="1267"/>
      <c r="C98" s="1268"/>
      <c r="D98" s="1271" t="s">
        <v>146</v>
      </c>
      <c r="E98" s="1272"/>
      <c r="F98" s="207">
        <f>F99</f>
        <v>369000</v>
      </c>
    </row>
    <row r="99" spans="1:6" ht="17.100000000000001" customHeight="1">
      <c r="A99" s="575"/>
      <c r="B99" s="1269"/>
      <c r="C99" s="1270"/>
      <c r="D99" s="1273" t="s">
        <v>209</v>
      </c>
      <c r="E99" s="1283"/>
      <c r="F99" s="210">
        <f>F100</f>
        <v>369000</v>
      </c>
    </row>
    <row r="100" spans="1:6" ht="39.75" customHeight="1">
      <c r="A100" s="575"/>
      <c r="B100" s="1297"/>
      <c r="C100" s="1298"/>
      <c r="D100" s="578" t="s">
        <v>210</v>
      </c>
      <c r="E100" s="579" t="s">
        <v>211</v>
      </c>
      <c r="F100" s="210">
        <v>369000</v>
      </c>
    </row>
    <row r="101" spans="1:6" ht="17.100000000000001" customHeight="1">
      <c r="A101" s="575"/>
      <c r="B101" s="1265" t="s">
        <v>212</v>
      </c>
      <c r="C101" s="1266"/>
      <c r="D101" s="576"/>
      <c r="E101" s="577" t="s">
        <v>1064</v>
      </c>
      <c r="F101" s="206">
        <f>F102</f>
        <v>5080000</v>
      </c>
    </row>
    <row r="102" spans="1:6" ht="17.100000000000001" customHeight="1">
      <c r="A102" s="575"/>
      <c r="B102" s="1299"/>
      <c r="C102" s="1300"/>
      <c r="D102" s="1271" t="s">
        <v>146</v>
      </c>
      <c r="E102" s="1272"/>
      <c r="F102" s="207">
        <f>F103</f>
        <v>5080000</v>
      </c>
    </row>
    <row r="103" spans="1:6" ht="17.100000000000001" customHeight="1">
      <c r="A103" s="575"/>
      <c r="B103" s="1301"/>
      <c r="C103" s="1302"/>
      <c r="D103" s="1273" t="s">
        <v>213</v>
      </c>
      <c r="E103" s="1283"/>
      <c r="F103" s="210">
        <f>SUM(F104:F127)</f>
        <v>5080000</v>
      </c>
    </row>
    <row r="104" spans="1:6" ht="17.100000000000001" customHeight="1">
      <c r="A104" s="575"/>
      <c r="B104" s="1301"/>
      <c r="C104" s="1302"/>
      <c r="D104" s="578" t="s">
        <v>214</v>
      </c>
      <c r="E104" s="579" t="s">
        <v>150</v>
      </c>
      <c r="F104" s="210">
        <v>1940715</v>
      </c>
    </row>
    <row r="105" spans="1:6" ht="17.100000000000001" customHeight="1">
      <c r="A105" s="575"/>
      <c r="B105" s="1301"/>
      <c r="C105" s="1302"/>
      <c r="D105" s="578" t="s">
        <v>215</v>
      </c>
      <c r="E105" s="579" t="s">
        <v>150</v>
      </c>
      <c r="F105" s="210">
        <v>1109285</v>
      </c>
    </row>
    <row r="106" spans="1:6" ht="17.100000000000001" customHeight="1">
      <c r="A106" s="575"/>
      <c r="B106" s="1301"/>
      <c r="C106" s="1302"/>
      <c r="D106" s="578" t="s">
        <v>216</v>
      </c>
      <c r="E106" s="579" t="s">
        <v>152</v>
      </c>
      <c r="F106" s="210">
        <v>159075</v>
      </c>
    </row>
    <row r="107" spans="1:6" ht="17.100000000000001" customHeight="1">
      <c r="A107" s="575"/>
      <c r="B107" s="1301"/>
      <c r="C107" s="1302"/>
      <c r="D107" s="578" t="s">
        <v>217</v>
      </c>
      <c r="E107" s="579" t="s">
        <v>152</v>
      </c>
      <c r="F107" s="210">
        <v>90925</v>
      </c>
    </row>
    <row r="108" spans="1:6" ht="17.100000000000001" customHeight="1">
      <c r="A108" s="575"/>
      <c r="B108" s="1301"/>
      <c r="C108" s="1302"/>
      <c r="D108" s="578" t="s">
        <v>218</v>
      </c>
      <c r="E108" s="579" t="s">
        <v>154</v>
      </c>
      <c r="F108" s="210">
        <v>381780</v>
      </c>
    </row>
    <row r="109" spans="1:6" ht="17.100000000000001" customHeight="1">
      <c r="A109" s="575"/>
      <c r="B109" s="1301"/>
      <c r="C109" s="1302"/>
      <c r="D109" s="578" t="s">
        <v>219</v>
      </c>
      <c r="E109" s="579" t="s">
        <v>154</v>
      </c>
      <c r="F109" s="210">
        <v>218220</v>
      </c>
    </row>
    <row r="110" spans="1:6" ht="17.100000000000001" customHeight="1">
      <c r="A110" s="575"/>
      <c r="B110" s="1301"/>
      <c r="C110" s="1302"/>
      <c r="D110" s="578" t="s">
        <v>220</v>
      </c>
      <c r="E110" s="579" t="s">
        <v>156</v>
      </c>
      <c r="F110" s="210">
        <v>63630</v>
      </c>
    </row>
    <row r="111" spans="1:6" ht="17.100000000000001" customHeight="1">
      <c r="A111" s="575"/>
      <c r="B111" s="1301"/>
      <c r="C111" s="1302"/>
      <c r="D111" s="578" t="s">
        <v>221</v>
      </c>
      <c r="E111" s="579" t="s">
        <v>156</v>
      </c>
      <c r="F111" s="210">
        <v>36370</v>
      </c>
    </row>
    <row r="112" spans="1:6" ht="17.100000000000001" customHeight="1">
      <c r="A112" s="575"/>
      <c r="B112" s="1301"/>
      <c r="C112" s="1302"/>
      <c r="D112" s="578" t="s">
        <v>222</v>
      </c>
      <c r="E112" s="579" t="s">
        <v>158</v>
      </c>
      <c r="F112" s="210">
        <v>1272</v>
      </c>
    </row>
    <row r="113" spans="1:6" ht="17.100000000000001" customHeight="1">
      <c r="A113" s="575"/>
      <c r="B113" s="1301"/>
      <c r="C113" s="1302"/>
      <c r="D113" s="578" t="s">
        <v>223</v>
      </c>
      <c r="E113" s="579" t="s">
        <v>158</v>
      </c>
      <c r="F113" s="210">
        <v>728</v>
      </c>
    </row>
    <row r="114" spans="1:6" ht="17.100000000000001" customHeight="1">
      <c r="A114" s="575"/>
      <c r="B114" s="1301"/>
      <c r="C114" s="1302"/>
      <c r="D114" s="578" t="s">
        <v>224</v>
      </c>
      <c r="E114" s="579" t="s">
        <v>225</v>
      </c>
      <c r="F114" s="210">
        <v>145076</v>
      </c>
    </row>
    <row r="115" spans="1:6" ht="17.100000000000001" customHeight="1">
      <c r="A115" s="575"/>
      <c r="B115" s="1301"/>
      <c r="C115" s="1302"/>
      <c r="D115" s="578" t="s">
        <v>226</v>
      </c>
      <c r="E115" s="579" t="s">
        <v>225</v>
      </c>
      <c r="F115" s="210">
        <v>82924</v>
      </c>
    </row>
    <row r="116" spans="1:6" ht="17.100000000000001" customHeight="1">
      <c r="A116" s="575"/>
      <c r="B116" s="1301"/>
      <c r="C116" s="1302"/>
      <c r="D116" s="578" t="s">
        <v>227</v>
      </c>
      <c r="E116" s="579" t="s">
        <v>163</v>
      </c>
      <c r="F116" s="210">
        <v>45813</v>
      </c>
    </row>
    <row r="117" spans="1:6" ht="17.100000000000001" customHeight="1">
      <c r="A117" s="575"/>
      <c r="B117" s="1301"/>
      <c r="C117" s="1302"/>
      <c r="D117" s="578" t="s">
        <v>228</v>
      </c>
      <c r="E117" s="579" t="s">
        <v>163</v>
      </c>
      <c r="F117" s="210">
        <v>26187</v>
      </c>
    </row>
    <row r="118" spans="1:6" ht="17.100000000000001" customHeight="1">
      <c r="A118" s="575"/>
      <c r="B118" s="1301"/>
      <c r="C118" s="1302"/>
      <c r="D118" s="578" t="s">
        <v>229</v>
      </c>
      <c r="E118" s="579" t="s">
        <v>167</v>
      </c>
      <c r="F118" s="210">
        <v>1909</v>
      </c>
    </row>
    <row r="119" spans="1:6" ht="17.100000000000001" customHeight="1">
      <c r="A119" s="575"/>
      <c r="B119" s="1301"/>
      <c r="C119" s="1302"/>
      <c r="D119" s="578" t="s">
        <v>230</v>
      </c>
      <c r="E119" s="579" t="s">
        <v>167</v>
      </c>
      <c r="F119" s="210">
        <v>1091</v>
      </c>
    </row>
    <row r="120" spans="1:6" ht="17.100000000000001" customHeight="1">
      <c r="A120" s="575"/>
      <c r="B120" s="1301"/>
      <c r="C120" s="1302"/>
      <c r="D120" s="578" t="s">
        <v>231</v>
      </c>
      <c r="E120" s="579" t="s">
        <v>171</v>
      </c>
      <c r="F120" s="210">
        <v>425920</v>
      </c>
    </row>
    <row r="121" spans="1:6" ht="17.100000000000001" customHeight="1">
      <c r="A121" s="575"/>
      <c r="B121" s="1301"/>
      <c r="C121" s="1302"/>
      <c r="D121" s="578" t="s">
        <v>232</v>
      </c>
      <c r="E121" s="579" t="s">
        <v>171</v>
      </c>
      <c r="F121" s="210">
        <v>244080</v>
      </c>
    </row>
    <row r="122" spans="1:6" ht="17.100000000000001" customHeight="1">
      <c r="A122" s="575"/>
      <c r="B122" s="1301"/>
      <c r="C122" s="1302"/>
      <c r="D122" s="578" t="s">
        <v>233</v>
      </c>
      <c r="E122" s="579" t="s">
        <v>177</v>
      </c>
      <c r="F122" s="210">
        <v>24179</v>
      </c>
    </row>
    <row r="123" spans="1:6" ht="17.100000000000001" customHeight="1">
      <c r="A123" s="575"/>
      <c r="B123" s="1301"/>
      <c r="C123" s="1302"/>
      <c r="D123" s="578" t="s">
        <v>234</v>
      </c>
      <c r="E123" s="579" t="s">
        <v>177</v>
      </c>
      <c r="F123" s="210">
        <v>13821</v>
      </c>
    </row>
    <row r="124" spans="1:6" ht="17.100000000000001" customHeight="1">
      <c r="A124" s="575"/>
      <c r="B124" s="1301"/>
      <c r="C124" s="1302"/>
      <c r="D124" s="578" t="s">
        <v>235</v>
      </c>
      <c r="E124" s="579" t="s">
        <v>179</v>
      </c>
      <c r="F124" s="210">
        <v>8271</v>
      </c>
    </row>
    <row r="125" spans="1:6" ht="17.100000000000001" customHeight="1">
      <c r="A125" s="575"/>
      <c r="B125" s="1301"/>
      <c r="C125" s="1302"/>
      <c r="D125" s="578" t="s">
        <v>236</v>
      </c>
      <c r="E125" s="579" t="s">
        <v>179</v>
      </c>
      <c r="F125" s="210">
        <v>4729</v>
      </c>
    </row>
    <row r="126" spans="1:6" ht="17.100000000000001" customHeight="1">
      <c r="A126" s="575"/>
      <c r="B126" s="1301"/>
      <c r="C126" s="1302"/>
      <c r="D126" s="578" t="s">
        <v>237</v>
      </c>
      <c r="E126" s="579" t="s">
        <v>189</v>
      </c>
      <c r="F126" s="210">
        <v>34360</v>
      </c>
    </row>
    <row r="127" spans="1:6" ht="17.100000000000001" customHeight="1">
      <c r="A127" s="575"/>
      <c r="B127" s="1301"/>
      <c r="C127" s="1302"/>
      <c r="D127" s="578" t="s">
        <v>238</v>
      </c>
      <c r="E127" s="579" t="s">
        <v>189</v>
      </c>
      <c r="F127" s="210">
        <v>19640</v>
      </c>
    </row>
    <row r="128" spans="1:6" ht="17.100000000000001" customHeight="1">
      <c r="A128" s="575"/>
      <c r="B128" s="1265" t="s">
        <v>239</v>
      </c>
      <c r="C128" s="1266"/>
      <c r="D128" s="576"/>
      <c r="E128" s="577" t="s">
        <v>240</v>
      </c>
      <c r="F128" s="206">
        <f>F129+F139</f>
        <v>7000000</v>
      </c>
    </row>
    <row r="129" spans="1:6" ht="17.100000000000001" customHeight="1">
      <c r="A129" s="575"/>
      <c r="B129" s="589"/>
      <c r="C129" s="590"/>
      <c r="D129" s="1271" t="s">
        <v>146</v>
      </c>
      <c r="E129" s="1272"/>
      <c r="F129" s="207">
        <f>F130+F135</f>
        <v>2770000</v>
      </c>
    </row>
    <row r="130" spans="1:6" ht="17.100000000000001" customHeight="1">
      <c r="A130" s="575"/>
      <c r="B130" s="591"/>
      <c r="C130" s="212"/>
      <c r="D130" s="1273" t="s">
        <v>147</v>
      </c>
      <c r="E130" s="1283"/>
      <c r="F130" s="210">
        <f>F131</f>
        <v>100000</v>
      </c>
    </row>
    <row r="131" spans="1:6" ht="17.100000000000001" customHeight="1">
      <c r="A131" s="575"/>
      <c r="B131" s="591"/>
      <c r="C131" s="212"/>
      <c r="D131" s="1279" t="s">
        <v>159</v>
      </c>
      <c r="E131" s="1280"/>
      <c r="F131" s="210">
        <f>SUM(F132:F133)</f>
        <v>100000</v>
      </c>
    </row>
    <row r="132" spans="1:6" ht="17.100000000000001" customHeight="1">
      <c r="A132" s="575"/>
      <c r="B132" s="591"/>
      <c r="C132" s="212"/>
      <c r="D132" s="578" t="s">
        <v>162</v>
      </c>
      <c r="E132" s="579" t="s">
        <v>163</v>
      </c>
      <c r="F132" s="210">
        <f>80000</f>
        <v>80000</v>
      </c>
    </row>
    <row r="133" spans="1:6" ht="17.100000000000001" customHeight="1">
      <c r="A133" s="575"/>
      <c r="B133" s="591"/>
      <c r="C133" s="212"/>
      <c r="D133" s="578" t="s">
        <v>170</v>
      </c>
      <c r="E133" s="579" t="s">
        <v>171</v>
      </c>
      <c r="F133" s="210">
        <f>20000</f>
        <v>20000</v>
      </c>
    </row>
    <row r="134" spans="1:6" ht="17.100000000000001" customHeight="1">
      <c r="A134" s="575"/>
      <c r="B134" s="591"/>
      <c r="C134" s="212"/>
      <c r="D134" s="1277"/>
      <c r="E134" s="1281"/>
      <c r="F134" s="1282"/>
    </row>
    <row r="135" spans="1:6" ht="17.100000000000001" customHeight="1">
      <c r="A135" s="575"/>
      <c r="B135" s="591"/>
      <c r="C135" s="212"/>
      <c r="D135" s="1273" t="s">
        <v>209</v>
      </c>
      <c r="E135" s="1283"/>
      <c r="F135" s="210">
        <f>SUM(F136:F137)</f>
        <v>2670000</v>
      </c>
    </row>
    <row r="136" spans="1:6" ht="30.75" customHeight="1">
      <c r="A136" s="575"/>
      <c r="B136" s="591"/>
      <c r="C136" s="212"/>
      <c r="D136" s="578" t="s">
        <v>241</v>
      </c>
      <c r="E136" s="579" t="s">
        <v>242</v>
      </c>
      <c r="F136" s="210">
        <v>2620000</v>
      </c>
    </row>
    <row r="137" spans="1:6" ht="30.75" customHeight="1">
      <c r="A137" s="575"/>
      <c r="B137" s="591"/>
      <c r="C137" s="212"/>
      <c r="D137" s="578" t="s">
        <v>243</v>
      </c>
      <c r="E137" s="579" t="s">
        <v>244</v>
      </c>
      <c r="F137" s="210">
        <f>50000</f>
        <v>50000</v>
      </c>
    </row>
    <row r="138" spans="1:6" ht="17.100000000000001" customHeight="1">
      <c r="A138" s="575"/>
      <c r="B138" s="591"/>
      <c r="C138" s="1270"/>
      <c r="D138" s="1277"/>
      <c r="E138" s="1281"/>
      <c r="F138" s="1282"/>
    </row>
    <row r="139" spans="1:6" ht="17.100000000000001" customHeight="1">
      <c r="A139" s="575"/>
      <c r="B139" s="591"/>
      <c r="C139" s="1270"/>
      <c r="D139" s="1312" t="s">
        <v>202</v>
      </c>
      <c r="E139" s="1313"/>
      <c r="F139" s="207">
        <f>F140</f>
        <v>4230000</v>
      </c>
    </row>
    <row r="140" spans="1:6" ht="17.100000000000001" customHeight="1">
      <c r="A140" s="575"/>
      <c r="B140" s="591"/>
      <c r="C140" s="1270"/>
      <c r="D140" s="1285" t="s">
        <v>203</v>
      </c>
      <c r="E140" s="1286"/>
      <c r="F140" s="210">
        <f>SUM(F141:F143)</f>
        <v>4230000</v>
      </c>
    </row>
    <row r="141" spans="1:6" ht="17.100000000000001" customHeight="1">
      <c r="A141" s="575"/>
      <c r="B141" s="591"/>
      <c r="C141" s="1270"/>
      <c r="D141" s="578" t="s">
        <v>245</v>
      </c>
      <c r="E141" s="579" t="s">
        <v>246</v>
      </c>
      <c r="F141" s="210">
        <v>180000</v>
      </c>
    </row>
    <row r="142" spans="1:6" ht="37.5" customHeight="1">
      <c r="A142" s="575"/>
      <c r="B142" s="592"/>
      <c r="C142" s="1270"/>
      <c r="D142" s="578" t="s">
        <v>247</v>
      </c>
      <c r="E142" s="579" t="s">
        <v>248</v>
      </c>
      <c r="F142" s="210">
        <v>4000000</v>
      </c>
    </row>
    <row r="143" spans="1:6" ht="38.25">
      <c r="A143" s="575"/>
      <c r="B143" s="593"/>
      <c r="C143" s="1298"/>
      <c r="D143" s="578" t="s">
        <v>249</v>
      </c>
      <c r="E143" s="579" t="s">
        <v>250</v>
      </c>
      <c r="F143" s="210">
        <f>50000</f>
        <v>50000</v>
      </c>
    </row>
    <row r="144" spans="1:6" ht="17.100000000000001" customHeight="1">
      <c r="A144" s="575"/>
      <c r="B144" s="1265" t="s">
        <v>251</v>
      </c>
      <c r="C144" s="1266"/>
      <c r="D144" s="576"/>
      <c r="E144" s="577" t="s">
        <v>252</v>
      </c>
      <c r="F144" s="206">
        <f>F145</f>
        <v>20494151</v>
      </c>
    </row>
    <row r="145" spans="1:9" ht="17.100000000000001" customHeight="1">
      <c r="A145" s="575"/>
      <c r="B145" s="594"/>
      <c r="C145" s="549"/>
      <c r="D145" s="1312" t="s">
        <v>202</v>
      </c>
      <c r="E145" s="1313"/>
      <c r="F145" s="207">
        <f>F146</f>
        <v>20494151</v>
      </c>
    </row>
    <row r="146" spans="1:9" ht="17.100000000000001" customHeight="1">
      <c r="A146" s="575"/>
      <c r="B146" s="594"/>
      <c r="C146" s="549"/>
      <c r="D146" s="1285" t="s">
        <v>203</v>
      </c>
      <c r="E146" s="1286"/>
      <c r="F146" s="210">
        <f>SUM(F147:F149)</f>
        <v>20494151</v>
      </c>
    </row>
    <row r="147" spans="1:9" ht="17.100000000000001" customHeight="1">
      <c r="A147" s="575"/>
      <c r="B147" s="1277"/>
      <c r="C147" s="1278"/>
      <c r="D147" s="578" t="s">
        <v>204</v>
      </c>
      <c r="E147" s="579" t="s">
        <v>205</v>
      </c>
      <c r="F147" s="210">
        <v>15919151</v>
      </c>
    </row>
    <row r="148" spans="1:9" ht="17.100000000000001" customHeight="1">
      <c r="A148" s="575"/>
      <c r="B148" s="1277"/>
      <c r="C148" s="1278"/>
      <c r="D148" s="578" t="s">
        <v>253</v>
      </c>
      <c r="E148" s="579" t="s">
        <v>205</v>
      </c>
      <c r="F148" s="210">
        <v>4575000</v>
      </c>
      <c r="G148" s="213"/>
    </row>
    <row r="149" spans="1:9" ht="17.100000000000001" hidden="1" customHeight="1">
      <c r="A149" s="575"/>
      <c r="B149" s="1277"/>
      <c r="C149" s="1278"/>
      <c r="D149" s="578" t="s">
        <v>253</v>
      </c>
      <c r="E149" s="579" t="s">
        <v>205</v>
      </c>
      <c r="F149" s="210"/>
    </row>
    <row r="150" spans="1:9" ht="17.100000000000001" customHeight="1">
      <c r="A150" s="575"/>
      <c r="B150" s="580"/>
      <c r="C150" s="550"/>
      <c r="D150" s="1277"/>
      <c r="E150" s="1291"/>
      <c r="F150" s="1292"/>
    </row>
    <row r="151" spans="1:9" ht="17.100000000000001" customHeight="1">
      <c r="A151" s="575"/>
      <c r="B151" s="580"/>
      <c r="C151" s="550"/>
      <c r="D151" s="1279" t="s">
        <v>206</v>
      </c>
      <c r="E151" s="1311"/>
      <c r="F151" s="210">
        <f>F152</f>
        <v>4575000</v>
      </c>
    </row>
    <row r="152" spans="1:9" ht="17.100000000000001" customHeight="1">
      <c r="A152" s="575"/>
      <c r="B152" s="580"/>
      <c r="C152" s="550"/>
      <c r="D152" s="578" t="s">
        <v>253</v>
      </c>
      <c r="E152" s="579" t="s">
        <v>205</v>
      </c>
      <c r="F152" s="210">
        <v>4575000</v>
      </c>
    </row>
    <row r="153" spans="1:9" ht="17.100000000000001" customHeight="1">
      <c r="A153" s="575"/>
      <c r="B153" s="1265" t="s">
        <v>254</v>
      </c>
      <c r="C153" s="1266"/>
      <c r="D153" s="576"/>
      <c r="E153" s="577" t="s">
        <v>129</v>
      </c>
      <c r="F153" s="206">
        <f>F154</f>
        <v>2651275</v>
      </c>
    </row>
    <row r="154" spans="1:9" ht="17.100000000000001" customHeight="1">
      <c r="A154" s="575"/>
      <c r="B154" s="594"/>
      <c r="C154" s="549"/>
      <c r="D154" s="1271" t="s">
        <v>146</v>
      </c>
      <c r="E154" s="1272"/>
      <c r="F154" s="207">
        <f>F155+F162</f>
        <v>2651275</v>
      </c>
    </row>
    <row r="155" spans="1:9" ht="17.100000000000001" customHeight="1">
      <c r="A155" s="575"/>
      <c r="B155" s="594"/>
      <c r="C155" s="549"/>
      <c r="D155" s="1273" t="s">
        <v>147</v>
      </c>
      <c r="E155" s="1283"/>
      <c r="F155" s="210">
        <f>F156</f>
        <v>1033300</v>
      </c>
    </row>
    <row r="156" spans="1:9" ht="17.100000000000001" customHeight="1">
      <c r="A156" s="575"/>
      <c r="B156" s="594"/>
      <c r="C156" s="549"/>
      <c r="D156" s="1279" t="s">
        <v>159</v>
      </c>
      <c r="E156" s="1280"/>
      <c r="F156" s="210">
        <f>SUM(F157:F160)</f>
        <v>1033300</v>
      </c>
    </row>
    <row r="157" spans="1:9" ht="17.100000000000001" customHeight="1">
      <c r="A157" s="575"/>
      <c r="B157" s="1277"/>
      <c r="C157" s="1278"/>
      <c r="D157" s="578" t="s">
        <v>170</v>
      </c>
      <c r="E157" s="579" t="s">
        <v>171</v>
      </c>
      <c r="F157" s="210">
        <f>475000+488300</f>
        <v>963300</v>
      </c>
      <c r="H157" s="201" t="s">
        <v>255</v>
      </c>
      <c r="I157" s="201" t="s">
        <v>256</v>
      </c>
    </row>
    <row r="158" spans="1:9" ht="17.100000000000001" customHeight="1">
      <c r="A158" s="575"/>
      <c r="B158" s="1277"/>
      <c r="C158" s="1278"/>
      <c r="D158" s="578" t="s">
        <v>257</v>
      </c>
      <c r="E158" s="579" t="s">
        <v>258</v>
      </c>
      <c r="F158" s="210">
        <v>50000</v>
      </c>
    </row>
    <row r="159" spans="1:9" ht="17.100000000000001" customHeight="1">
      <c r="A159" s="575"/>
      <c r="B159" s="1277"/>
      <c r="C159" s="1278"/>
      <c r="D159" s="578" t="s">
        <v>259</v>
      </c>
      <c r="E159" s="579" t="s">
        <v>260</v>
      </c>
      <c r="F159" s="210">
        <v>15000</v>
      </c>
    </row>
    <row r="160" spans="1:9" ht="17.100000000000001" customHeight="1">
      <c r="A160" s="575"/>
      <c r="B160" s="580"/>
      <c r="C160" s="550"/>
      <c r="D160" s="578" t="s">
        <v>195</v>
      </c>
      <c r="E160" s="579" t="s">
        <v>196</v>
      </c>
      <c r="F160" s="210">
        <v>5000</v>
      </c>
    </row>
    <row r="161" spans="1:6" ht="17.100000000000001" customHeight="1">
      <c r="A161" s="575"/>
      <c r="B161" s="580"/>
      <c r="C161" s="550"/>
      <c r="D161" s="1277"/>
      <c r="E161" s="1281"/>
      <c r="F161" s="1282"/>
    </row>
    <row r="162" spans="1:6" ht="17.100000000000001" customHeight="1">
      <c r="A162" s="575"/>
      <c r="B162" s="580"/>
      <c r="C162" s="550"/>
      <c r="D162" s="1273" t="s">
        <v>209</v>
      </c>
      <c r="E162" s="1283"/>
      <c r="F162" s="210">
        <f>F163</f>
        <v>1617975</v>
      </c>
    </row>
    <row r="163" spans="1:6" ht="45" customHeight="1">
      <c r="A163" s="575"/>
      <c r="B163" s="1277"/>
      <c r="C163" s="1278"/>
      <c r="D163" s="578" t="s">
        <v>261</v>
      </c>
      <c r="E163" s="579" t="s">
        <v>262</v>
      </c>
      <c r="F163" s="210">
        <v>1617975</v>
      </c>
    </row>
    <row r="164" spans="1:6" ht="17.100000000000001" customHeight="1">
      <c r="A164" s="572" t="s">
        <v>263</v>
      </c>
      <c r="B164" s="1263"/>
      <c r="C164" s="1264"/>
      <c r="D164" s="573"/>
      <c r="E164" s="574" t="s">
        <v>264</v>
      </c>
      <c r="F164" s="205">
        <f>F165</f>
        <v>796000</v>
      </c>
    </row>
    <row r="165" spans="1:6" ht="42.75" customHeight="1">
      <c r="A165" s="575"/>
      <c r="B165" s="1265" t="s">
        <v>265</v>
      </c>
      <c r="C165" s="1266"/>
      <c r="D165" s="576"/>
      <c r="E165" s="577" t="s">
        <v>1065</v>
      </c>
      <c r="F165" s="206">
        <f>F166+F199</f>
        <v>796000</v>
      </c>
    </row>
    <row r="166" spans="1:6" ht="17.100000000000001" customHeight="1">
      <c r="A166" s="575"/>
      <c r="B166" s="1267"/>
      <c r="C166" s="1268"/>
      <c r="D166" s="1271" t="s">
        <v>146</v>
      </c>
      <c r="E166" s="1272"/>
      <c r="F166" s="207">
        <f>F167</f>
        <v>780000</v>
      </c>
    </row>
    <row r="167" spans="1:6" ht="17.100000000000001" customHeight="1">
      <c r="A167" s="575"/>
      <c r="B167" s="1269"/>
      <c r="C167" s="1270"/>
      <c r="D167" s="1273" t="s">
        <v>213</v>
      </c>
      <c r="E167" s="1283"/>
      <c r="F167" s="210">
        <f>SUM(F168:F197)</f>
        <v>780000</v>
      </c>
    </row>
    <row r="168" spans="1:6" ht="17.100000000000001" customHeight="1">
      <c r="A168" s="575"/>
      <c r="B168" s="1269"/>
      <c r="C168" s="1270"/>
      <c r="D168" s="578" t="s">
        <v>214</v>
      </c>
      <c r="E168" s="579" t="s">
        <v>150</v>
      </c>
      <c r="F168" s="210">
        <v>336000</v>
      </c>
    </row>
    <row r="169" spans="1:6" ht="17.100000000000001" customHeight="1">
      <c r="A169" s="575"/>
      <c r="B169" s="1277"/>
      <c r="C169" s="1278"/>
      <c r="D169" s="578" t="s">
        <v>215</v>
      </c>
      <c r="E169" s="579" t="s">
        <v>150</v>
      </c>
      <c r="F169" s="210">
        <v>112000</v>
      </c>
    </row>
    <row r="170" spans="1:6" ht="17.100000000000001" customHeight="1">
      <c r="A170" s="575"/>
      <c r="B170" s="1277"/>
      <c r="C170" s="1278"/>
      <c r="D170" s="578" t="s">
        <v>216</v>
      </c>
      <c r="E170" s="579" t="s">
        <v>152</v>
      </c>
      <c r="F170" s="210">
        <v>41250</v>
      </c>
    </row>
    <row r="171" spans="1:6" ht="17.100000000000001" customHeight="1">
      <c r="A171" s="575"/>
      <c r="B171" s="1277"/>
      <c r="C171" s="1278"/>
      <c r="D171" s="578" t="s">
        <v>217</v>
      </c>
      <c r="E171" s="579" t="s">
        <v>152</v>
      </c>
      <c r="F171" s="210">
        <v>13750</v>
      </c>
    </row>
    <row r="172" spans="1:6" ht="17.100000000000001" customHeight="1">
      <c r="A172" s="575"/>
      <c r="B172" s="1277"/>
      <c r="C172" s="1278"/>
      <c r="D172" s="578" t="s">
        <v>218</v>
      </c>
      <c r="E172" s="579" t="s">
        <v>154</v>
      </c>
      <c r="F172" s="210">
        <v>64200</v>
      </c>
    </row>
    <row r="173" spans="1:6" ht="17.100000000000001" customHeight="1">
      <c r="A173" s="575"/>
      <c r="B173" s="1277"/>
      <c r="C173" s="1278"/>
      <c r="D173" s="578" t="s">
        <v>219</v>
      </c>
      <c r="E173" s="579" t="s">
        <v>154</v>
      </c>
      <c r="F173" s="210">
        <v>21400</v>
      </c>
    </row>
    <row r="174" spans="1:6" ht="17.100000000000001" customHeight="1">
      <c r="A174" s="575"/>
      <c r="B174" s="1277"/>
      <c r="C174" s="1278"/>
      <c r="D174" s="578" t="s">
        <v>220</v>
      </c>
      <c r="E174" s="579" t="s">
        <v>156</v>
      </c>
      <c r="F174" s="210">
        <v>8550</v>
      </c>
    </row>
    <row r="175" spans="1:6" ht="17.100000000000001" customHeight="1">
      <c r="A175" s="575"/>
      <c r="B175" s="1277"/>
      <c r="C175" s="1278"/>
      <c r="D175" s="578" t="s">
        <v>221</v>
      </c>
      <c r="E175" s="579" t="s">
        <v>156</v>
      </c>
      <c r="F175" s="210">
        <v>2850</v>
      </c>
    </row>
    <row r="176" spans="1:6" ht="17.100000000000001" customHeight="1">
      <c r="A176" s="575"/>
      <c r="B176" s="580"/>
      <c r="C176" s="550"/>
      <c r="D176" s="578" t="s">
        <v>222</v>
      </c>
      <c r="E176" s="579" t="s">
        <v>158</v>
      </c>
      <c r="F176" s="210">
        <v>450</v>
      </c>
    </row>
    <row r="177" spans="1:6" ht="17.100000000000001" customHeight="1">
      <c r="A177" s="575"/>
      <c r="B177" s="580"/>
      <c r="C177" s="550"/>
      <c r="D177" s="578" t="s">
        <v>223</v>
      </c>
      <c r="E177" s="579" t="s">
        <v>158</v>
      </c>
      <c r="F177" s="210">
        <v>150</v>
      </c>
    </row>
    <row r="178" spans="1:6" ht="17.100000000000001" hidden="1" customHeight="1">
      <c r="A178" s="575"/>
      <c r="B178" s="1277"/>
      <c r="C178" s="1278"/>
      <c r="D178" s="578" t="s">
        <v>162</v>
      </c>
      <c r="E178" s="579" t="s">
        <v>163</v>
      </c>
      <c r="F178" s="210"/>
    </row>
    <row r="179" spans="1:6" ht="17.100000000000001" customHeight="1">
      <c r="A179" s="575"/>
      <c r="B179" s="1277"/>
      <c r="C179" s="1278"/>
      <c r="D179" s="578" t="s">
        <v>227</v>
      </c>
      <c r="E179" s="579" t="s">
        <v>163</v>
      </c>
      <c r="F179" s="210">
        <v>39300</v>
      </c>
    </row>
    <row r="180" spans="1:6" ht="17.100000000000001" customHeight="1">
      <c r="A180" s="575"/>
      <c r="B180" s="1277"/>
      <c r="C180" s="1278"/>
      <c r="D180" s="578" t="s">
        <v>228</v>
      </c>
      <c r="E180" s="579" t="s">
        <v>163</v>
      </c>
      <c r="F180" s="210">
        <v>13100</v>
      </c>
    </row>
    <row r="181" spans="1:6" ht="17.100000000000001" hidden="1" customHeight="1">
      <c r="A181" s="575"/>
      <c r="B181" s="1277"/>
      <c r="C181" s="1278"/>
      <c r="D181" s="578" t="s">
        <v>170</v>
      </c>
      <c r="E181" s="579" t="s">
        <v>171</v>
      </c>
      <c r="F181" s="210"/>
    </row>
    <row r="182" spans="1:6" ht="17.100000000000001" customHeight="1">
      <c r="A182" s="575"/>
      <c r="B182" s="580"/>
      <c r="C182" s="550"/>
      <c r="D182" s="578" t="s">
        <v>229</v>
      </c>
      <c r="E182" s="579" t="s">
        <v>167</v>
      </c>
      <c r="F182" s="210">
        <v>3750</v>
      </c>
    </row>
    <row r="183" spans="1:6" ht="17.100000000000001" customHeight="1">
      <c r="A183" s="575"/>
      <c r="B183" s="580"/>
      <c r="C183" s="550"/>
      <c r="D183" s="578" t="s">
        <v>230</v>
      </c>
      <c r="E183" s="579" t="s">
        <v>167</v>
      </c>
      <c r="F183" s="210">
        <v>1250</v>
      </c>
    </row>
    <row r="184" spans="1:6" ht="17.100000000000001" customHeight="1">
      <c r="A184" s="575"/>
      <c r="B184" s="1277"/>
      <c r="C184" s="1278"/>
      <c r="D184" s="578" t="s">
        <v>231</v>
      </c>
      <c r="E184" s="579" t="s">
        <v>171</v>
      </c>
      <c r="F184" s="210">
        <v>69750</v>
      </c>
    </row>
    <row r="185" spans="1:6" ht="17.100000000000001" customHeight="1">
      <c r="A185" s="575"/>
      <c r="B185" s="1277"/>
      <c r="C185" s="1278"/>
      <c r="D185" s="578" t="s">
        <v>232</v>
      </c>
      <c r="E185" s="579" t="s">
        <v>171</v>
      </c>
      <c r="F185" s="210">
        <v>23250</v>
      </c>
    </row>
    <row r="186" spans="1:6" ht="17.100000000000001" hidden="1" customHeight="1">
      <c r="A186" s="575"/>
      <c r="B186" s="580"/>
      <c r="C186" s="550"/>
      <c r="D186" s="578" t="s">
        <v>266</v>
      </c>
      <c r="E186" s="579" t="s">
        <v>267</v>
      </c>
      <c r="F186" s="210"/>
    </row>
    <row r="187" spans="1:6" ht="17.100000000000001" hidden="1" customHeight="1">
      <c r="A187" s="575"/>
      <c r="B187" s="580"/>
      <c r="C187" s="550"/>
      <c r="D187" s="578" t="s">
        <v>268</v>
      </c>
      <c r="E187" s="579" t="s">
        <v>267</v>
      </c>
      <c r="F187" s="210"/>
    </row>
    <row r="188" spans="1:6" ht="17.100000000000001" hidden="1" customHeight="1">
      <c r="A188" s="575"/>
      <c r="B188" s="580"/>
      <c r="C188" s="550"/>
      <c r="D188" s="578" t="s">
        <v>269</v>
      </c>
      <c r="E188" s="579" t="s">
        <v>267</v>
      </c>
      <c r="F188" s="210"/>
    </row>
    <row r="189" spans="1:6" ht="31.5" hidden="1" customHeight="1">
      <c r="A189" s="575"/>
      <c r="B189" s="1277"/>
      <c r="C189" s="1278"/>
      <c r="D189" s="578" t="s">
        <v>172</v>
      </c>
      <c r="E189" s="579" t="s">
        <v>199</v>
      </c>
      <c r="F189" s="210"/>
    </row>
    <row r="190" spans="1:6" ht="31.5" hidden="1" customHeight="1">
      <c r="A190" s="575"/>
      <c r="B190" s="1277"/>
      <c r="C190" s="1278"/>
      <c r="D190" s="578" t="s">
        <v>270</v>
      </c>
      <c r="E190" s="579" t="s">
        <v>199</v>
      </c>
      <c r="F190" s="210"/>
    </row>
    <row r="191" spans="1:6" ht="29.25" hidden="1" customHeight="1">
      <c r="A191" s="575"/>
      <c r="B191" s="1277"/>
      <c r="C191" s="1278"/>
      <c r="D191" s="578" t="s">
        <v>271</v>
      </c>
      <c r="E191" s="579" t="s">
        <v>199</v>
      </c>
      <c r="F191" s="210"/>
    </row>
    <row r="192" spans="1:6" ht="17.100000000000001" hidden="1" customHeight="1">
      <c r="A192" s="575"/>
      <c r="B192" s="1277"/>
      <c r="C192" s="1278"/>
      <c r="D192" s="578" t="s">
        <v>176</v>
      </c>
      <c r="E192" s="579" t="s">
        <v>177</v>
      </c>
      <c r="F192" s="210"/>
    </row>
    <row r="193" spans="1:7" ht="17.100000000000001" customHeight="1">
      <c r="A193" s="575"/>
      <c r="B193" s="1277"/>
      <c r="C193" s="1278"/>
      <c r="D193" s="578" t="s">
        <v>233</v>
      </c>
      <c r="E193" s="579" t="s">
        <v>177</v>
      </c>
      <c r="F193" s="210">
        <v>12000</v>
      </c>
    </row>
    <row r="194" spans="1:7" ht="17.100000000000001" customHeight="1">
      <c r="A194" s="575"/>
      <c r="B194" s="1277"/>
      <c r="C194" s="1278"/>
      <c r="D194" s="578" t="s">
        <v>234</v>
      </c>
      <c r="E194" s="579" t="s">
        <v>177</v>
      </c>
      <c r="F194" s="210">
        <v>4000</v>
      </c>
    </row>
    <row r="195" spans="1:7" ht="17.100000000000001" hidden="1" customHeight="1">
      <c r="A195" s="575"/>
      <c r="B195" s="1277"/>
      <c r="C195" s="1278"/>
      <c r="D195" s="578" t="s">
        <v>188</v>
      </c>
      <c r="E195" s="579" t="s">
        <v>189</v>
      </c>
      <c r="F195" s="210"/>
    </row>
    <row r="196" spans="1:7" ht="17.100000000000001" customHeight="1">
      <c r="A196" s="575"/>
      <c r="B196" s="1277"/>
      <c r="C196" s="1278"/>
      <c r="D196" s="578" t="s">
        <v>237</v>
      </c>
      <c r="E196" s="579" t="s">
        <v>189</v>
      </c>
      <c r="F196" s="210">
        <v>9750</v>
      </c>
    </row>
    <row r="197" spans="1:7" ht="17.100000000000001" customHeight="1">
      <c r="A197" s="575"/>
      <c r="B197" s="1277"/>
      <c r="C197" s="1278"/>
      <c r="D197" s="578" t="s">
        <v>238</v>
      </c>
      <c r="E197" s="579" t="s">
        <v>189</v>
      </c>
      <c r="F197" s="210">
        <v>3250</v>
      </c>
    </row>
    <row r="198" spans="1:7" ht="21" customHeight="1">
      <c r="A198" s="575"/>
      <c r="B198" s="580"/>
      <c r="C198" s="550"/>
      <c r="D198" s="1277"/>
      <c r="E198" s="1291"/>
      <c r="F198" s="1292"/>
    </row>
    <row r="199" spans="1:7" ht="17.100000000000001" customHeight="1">
      <c r="A199" s="575"/>
      <c r="B199" s="580"/>
      <c r="C199" s="550"/>
      <c r="D199" s="1312" t="s">
        <v>202</v>
      </c>
      <c r="E199" s="1313"/>
      <c r="F199" s="207">
        <f>F200</f>
        <v>16000</v>
      </c>
    </row>
    <row r="200" spans="1:7" ht="17.100000000000001" customHeight="1">
      <c r="A200" s="575"/>
      <c r="B200" s="580"/>
      <c r="C200" s="550"/>
      <c r="D200" s="1285" t="s">
        <v>272</v>
      </c>
      <c r="E200" s="1286"/>
      <c r="F200" s="210">
        <f>SUM(F201:F202)</f>
        <v>16000</v>
      </c>
    </row>
    <row r="201" spans="1:7" ht="17.100000000000001" customHeight="1">
      <c r="A201" s="575"/>
      <c r="B201" s="580"/>
      <c r="C201" s="550"/>
      <c r="D201" s="578" t="s">
        <v>273</v>
      </c>
      <c r="E201" s="579" t="s">
        <v>246</v>
      </c>
      <c r="F201" s="210">
        <f>F205</f>
        <v>12000</v>
      </c>
      <c r="G201" s="213"/>
    </row>
    <row r="202" spans="1:7" ht="17.100000000000001" customHeight="1">
      <c r="A202" s="575"/>
      <c r="B202" s="580"/>
      <c r="C202" s="550"/>
      <c r="D202" s="578" t="s">
        <v>274</v>
      </c>
      <c r="E202" s="579" t="s">
        <v>246</v>
      </c>
      <c r="F202" s="210">
        <f>F206</f>
        <v>4000</v>
      </c>
    </row>
    <row r="203" spans="1:7" ht="17.100000000000001" customHeight="1">
      <c r="A203" s="575"/>
      <c r="B203" s="580"/>
      <c r="C203" s="550"/>
      <c r="D203" s="1277"/>
      <c r="E203" s="1291"/>
      <c r="F203" s="1292"/>
    </row>
    <row r="204" spans="1:7" ht="17.100000000000001" customHeight="1">
      <c r="A204" s="575"/>
      <c r="B204" s="580"/>
      <c r="C204" s="550"/>
      <c r="D204" s="1279" t="s">
        <v>206</v>
      </c>
      <c r="E204" s="1311"/>
      <c r="F204" s="210">
        <f>F205+F206</f>
        <v>16000</v>
      </c>
    </row>
    <row r="205" spans="1:7" ht="17.100000000000001" customHeight="1">
      <c r="A205" s="575"/>
      <c r="B205" s="580"/>
      <c r="C205" s="550"/>
      <c r="D205" s="578" t="s">
        <v>273</v>
      </c>
      <c r="E205" s="579" t="s">
        <v>246</v>
      </c>
      <c r="F205" s="210">
        <v>12000</v>
      </c>
    </row>
    <row r="206" spans="1:7" ht="17.100000000000001" customHeight="1">
      <c r="A206" s="575"/>
      <c r="B206" s="580"/>
      <c r="C206" s="550"/>
      <c r="D206" s="578" t="s">
        <v>274</v>
      </c>
      <c r="E206" s="579" t="s">
        <v>246</v>
      </c>
      <c r="F206" s="210">
        <v>4000</v>
      </c>
    </row>
    <row r="207" spans="1:7" ht="17.100000000000001" customHeight="1">
      <c r="A207" s="572" t="s">
        <v>275</v>
      </c>
      <c r="B207" s="1263"/>
      <c r="C207" s="1264"/>
      <c r="D207" s="573"/>
      <c r="E207" s="574" t="s">
        <v>276</v>
      </c>
      <c r="F207" s="205">
        <f>F208+F218</f>
        <v>19456470</v>
      </c>
    </row>
    <row r="208" spans="1:7" ht="17.100000000000001" customHeight="1">
      <c r="A208" s="575"/>
      <c r="B208" s="1265" t="s">
        <v>277</v>
      </c>
      <c r="C208" s="1266"/>
      <c r="D208" s="576"/>
      <c r="E208" s="577" t="s">
        <v>278</v>
      </c>
      <c r="F208" s="206">
        <f>F209+F214</f>
        <v>19456470</v>
      </c>
    </row>
    <row r="209" spans="1:9" ht="17.100000000000001" customHeight="1">
      <c r="A209" s="575"/>
      <c r="B209" s="1267"/>
      <c r="C209" s="1268"/>
      <c r="D209" s="1271" t="s">
        <v>146</v>
      </c>
      <c r="E209" s="1272"/>
      <c r="F209" s="207">
        <f>F210</f>
        <v>5294301</v>
      </c>
    </row>
    <row r="210" spans="1:9" ht="17.100000000000001" customHeight="1">
      <c r="A210" s="575"/>
      <c r="B210" s="1269"/>
      <c r="C210" s="1270"/>
      <c r="D210" s="1273" t="s">
        <v>209</v>
      </c>
      <c r="E210" s="1283"/>
      <c r="F210" s="210">
        <f>F211+F212</f>
        <v>5294301</v>
      </c>
    </row>
    <row r="211" spans="1:9" ht="43.5" customHeight="1">
      <c r="A211" s="575"/>
      <c r="B211" s="1269"/>
      <c r="C211" s="1270"/>
      <c r="D211" s="583" t="s">
        <v>279</v>
      </c>
      <c r="E211" s="595" t="s">
        <v>280</v>
      </c>
      <c r="F211" s="585">
        <f>3748340+884490</f>
        <v>4632830</v>
      </c>
      <c r="I211" s="201" t="s">
        <v>281</v>
      </c>
    </row>
    <row r="212" spans="1:9" ht="51">
      <c r="A212" s="575"/>
      <c r="B212" s="596"/>
      <c r="C212" s="552"/>
      <c r="D212" s="211" t="s">
        <v>282</v>
      </c>
      <c r="E212" s="534" t="s">
        <v>283</v>
      </c>
      <c r="F212" s="210">
        <v>661471</v>
      </c>
      <c r="G212" s="597"/>
    </row>
    <row r="213" spans="1:9" ht="17.100000000000001" customHeight="1">
      <c r="A213" s="575"/>
      <c r="B213" s="596"/>
      <c r="C213" s="549"/>
      <c r="D213" s="1277"/>
      <c r="E213" s="1281"/>
      <c r="F213" s="1282"/>
      <c r="G213" s="597"/>
    </row>
    <row r="214" spans="1:9" ht="17.100000000000001" customHeight="1">
      <c r="A214" s="575"/>
      <c r="B214" s="596"/>
      <c r="C214" s="549"/>
      <c r="D214" s="1312" t="s">
        <v>202</v>
      </c>
      <c r="E214" s="1313"/>
      <c r="F214" s="207">
        <f>F215</f>
        <v>14162169</v>
      </c>
    </row>
    <row r="215" spans="1:9" ht="17.100000000000001" customHeight="1">
      <c r="A215" s="575"/>
      <c r="B215" s="596"/>
      <c r="C215" s="549"/>
      <c r="D215" s="1319" t="s">
        <v>203</v>
      </c>
      <c r="E215" s="1286"/>
      <c r="F215" s="210">
        <f>F216+F217</f>
        <v>14162169</v>
      </c>
    </row>
    <row r="216" spans="1:9" ht="38.25">
      <c r="A216" s="575"/>
      <c r="B216" s="596"/>
      <c r="C216" s="552"/>
      <c r="D216" s="211" t="s">
        <v>284</v>
      </c>
      <c r="E216" s="579" t="s">
        <v>280</v>
      </c>
      <c r="F216" s="210">
        <v>13162169</v>
      </c>
    </row>
    <row r="217" spans="1:9" ht="51">
      <c r="A217" s="575"/>
      <c r="B217" s="1277"/>
      <c r="C217" s="1278"/>
      <c r="D217" s="531" t="s">
        <v>285</v>
      </c>
      <c r="E217" s="534" t="s">
        <v>283</v>
      </c>
      <c r="F217" s="210">
        <v>1000000</v>
      </c>
      <c r="G217" s="213"/>
    </row>
    <row r="218" spans="1:9" ht="17.100000000000001" hidden="1" customHeight="1">
      <c r="A218" s="575"/>
      <c r="B218" s="1265" t="s">
        <v>286</v>
      </c>
      <c r="C218" s="1266"/>
      <c r="D218" s="576"/>
      <c r="E218" s="577" t="s">
        <v>287</v>
      </c>
      <c r="F218" s="206">
        <f>F219</f>
        <v>0</v>
      </c>
    </row>
    <row r="219" spans="1:9" ht="17.100000000000001" hidden="1" customHeight="1">
      <c r="A219" s="575"/>
      <c r="B219" s="1269"/>
      <c r="C219" s="1270"/>
      <c r="D219" s="1271" t="s">
        <v>146</v>
      </c>
      <c r="E219" s="1272"/>
      <c r="F219" s="207">
        <f>F220</f>
        <v>0</v>
      </c>
    </row>
    <row r="220" spans="1:9" ht="17.100000000000001" hidden="1" customHeight="1">
      <c r="A220" s="575"/>
      <c r="B220" s="1269"/>
      <c r="C220" s="1270"/>
      <c r="D220" s="1273" t="s">
        <v>209</v>
      </c>
      <c r="E220" s="1283"/>
      <c r="F220" s="210">
        <f>F221</f>
        <v>0</v>
      </c>
    </row>
    <row r="221" spans="1:9" ht="40.5" hidden="1" customHeight="1">
      <c r="A221" s="575"/>
      <c r="B221" s="1297"/>
      <c r="C221" s="1298"/>
      <c r="D221" s="578" t="s">
        <v>279</v>
      </c>
      <c r="E221" s="579" t="s">
        <v>280</v>
      </c>
      <c r="F221" s="210">
        <v>0</v>
      </c>
    </row>
    <row r="222" spans="1:9" ht="17.100000000000001" customHeight="1">
      <c r="A222" s="572" t="s">
        <v>288</v>
      </c>
      <c r="B222" s="1263"/>
      <c r="C222" s="1264"/>
      <c r="D222" s="573"/>
      <c r="E222" s="574" t="s">
        <v>289</v>
      </c>
      <c r="F222" s="205">
        <f>F223</f>
        <v>647583</v>
      </c>
    </row>
    <row r="223" spans="1:9" ht="17.100000000000001" customHeight="1">
      <c r="A223" s="575"/>
      <c r="B223" s="1265" t="s">
        <v>290</v>
      </c>
      <c r="C223" s="1266"/>
      <c r="D223" s="576"/>
      <c r="E223" s="577" t="s">
        <v>291</v>
      </c>
      <c r="F223" s="206">
        <f>F224</f>
        <v>647583</v>
      </c>
    </row>
    <row r="224" spans="1:9" ht="17.100000000000001" customHeight="1">
      <c r="A224" s="575"/>
      <c r="B224" s="1267"/>
      <c r="C224" s="1314"/>
      <c r="D224" s="1312" t="s">
        <v>202</v>
      </c>
      <c r="E224" s="1313"/>
      <c r="F224" s="207">
        <f>F225</f>
        <v>647583</v>
      </c>
    </row>
    <row r="225" spans="1:7" ht="17.100000000000001" customHeight="1">
      <c r="A225" s="575"/>
      <c r="B225" s="1315"/>
      <c r="C225" s="1316"/>
      <c r="D225" s="1319" t="s">
        <v>203</v>
      </c>
      <c r="E225" s="1286"/>
      <c r="F225" s="210">
        <f>F226</f>
        <v>647583</v>
      </c>
    </row>
    <row r="226" spans="1:7" ht="40.5" customHeight="1">
      <c r="A226" s="575"/>
      <c r="B226" s="1317"/>
      <c r="C226" s="1318"/>
      <c r="D226" s="578" t="s">
        <v>284</v>
      </c>
      <c r="E226" s="579" t="s">
        <v>280</v>
      </c>
      <c r="F226" s="210">
        <v>647583</v>
      </c>
      <c r="G226" s="213"/>
    </row>
    <row r="227" spans="1:7" ht="17.100000000000001" customHeight="1">
      <c r="A227" s="572" t="s">
        <v>293</v>
      </c>
      <c r="B227" s="1263"/>
      <c r="C227" s="1264"/>
      <c r="D227" s="573"/>
      <c r="E227" s="574" t="s">
        <v>294</v>
      </c>
      <c r="F227" s="205">
        <f>F228</f>
        <v>231732</v>
      </c>
    </row>
    <row r="228" spans="1:7" ht="17.100000000000001" customHeight="1">
      <c r="A228" s="575"/>
      <c r="B228" s="1265" t="s">
        <v>295</v>
      </c>
      <c r="C228" s="1266"/>
      <c r="D228" s="576"/>
      <c r="E228" s="577" t="s">
        <v>296</v>
      </c>
      <c r="F228" s="206">
        <f>F229</f>
        <v>231732</v>
      </c>
    </row>
    <row r="229" spans="1:7" ht="17.100000000000001" customHeight="1">
      <c r="A229" s="575"/>
      <c r="B229" s="1267"/>
      <c r="C229" s="1268"/>
      <c r="D229" s="1271" t="s">
        <v>146</v>
      </c>
      <c r="E229" s="1272"/>
      <c r="F229" s="207">
        <f>F230</f>
        <v>231732</v>
      </c>
    </row>
    <row r="230" spans="1:7" ht="17.100000000000001" customHeight="1">
      <c r="A230" s="575"/>
      <c r="B230" s="1269"/>
      <c r="C230" s="1270"/>
      <c r="D230" s="1328" t="s">
        <v>147</v>
      </c>
      <c r="E230" s="1329"/>
      <c r="F230" s="210">
        <f>F231</f>
        <v>231732</v>
      </c>
    </row>
    <row r="231" spans="1:7" ht="17.100000000000001" customHeight="1">
      <c r="A231" s="575"/>
      <c r="B231" s="1269"/>
      <c r="C231" s="1270"/>
      <c r="D231" s="1330" t="s">
        <v>148</v>
      </c>
      <c r="E231" s="1331"/>
      <c r="F231" s="210">
        <f>F232+F233+F234+F235</f>
        <v>231732</v>
      </c>
    </row>
    <row r="232" spans="1:7" ht="17.100000000000001" customHeight="1">
      <c r="A232" s="575"/>
      <c r="B232" s="1269"/>
      <c r="C232" s="1270"/>
      <c r="D232" s="598" t="s">
        <v>149</v>
      </c>
      <c r="E232" s="599" t="s">
        <v>150</v>
      </c>
      <c r="F232" s="210">
        <v>176228</v>
      </c>
    </row>
    <row r="233" spans="1:7" ht="17.100000000000001" customHeight="1">
      <c r="A233" s="575"/>
      <c r="B233" s="1269"/>
      <c r="C233" s="1270"/>
      <c r="D233" s="598" t="s">
        <v>151</v>
      </c>
      <c r="E233" s="579" t="s">
        <v>152</v>
      </c>
      <c r="F233" s="210">
        <v>14000</v>
      </c>
    </row>
    <row r="234" spans="1:7" ht="17.100000000000001" customHeight="1">
      <c r="A234" s="575"/>
      <c r="B234" s="1269"/>
      <c r="C234" s="1270"/>
      <c r="D234" s="598" t="s">
        <v>153</v>
      </c>
      <c r="E234" s="599" t="s">
        <v>154</v>
      </c>
      <c r="F234" s="210">
        <v>36200</v>
      </c>
    </row>
    <row r="235" spans="1:7" ht="15.75" customHeight="1">
      <c r="A235" s="575"/>
      <c r="B235" s="1269"/>
      <c r="C235" s="1270"/>
      <c r="D235" s="598" t="s">
        <v>155</v>
      </c>
      <c r="E235" s="599" t="s">
        <v>156</v>
      </c>
      <c r="F235" s="210">
        <v>5304</v>
      </c>
    </row>
    <row r="236" spans="1:7" ht="17.100000000000001" hidden="1" customHeight="1">
      <c r="A236" s="575"/>
      <c r="B236" s="1277"/>
      <c r="C236" s="1278"/>
      <c r="D236" s="578" t="s">
        <v>297</v>
      </c>
      <c r="E236" s="579" t="s">
        <v>258</v>
      </c>
      <c r="F236" s="210"/>
    </row>
    <row r="237" spans="1:7" ht="17.100000000000001" hidden="1" customHeight="1">
      <c r="A237" s="575"/>
      <c r="B237" s="1303"/>
      <c r="C237" s="1320"/>
      <c r="D237" s="578" t="s">
        <v>298</v>
      </c>
      <c r="E237" s="579" t="s">
        <v>258</v>
      </c>
      <c r="F237" s="210"/>
    </row>
    <row r="238" spans="1:7" ht="17.100000000000001" customHeight="1">
      <c r="A238" s="572" t="s">
        <v>7</v>
      </c>
      <c r="B238" s="1263"/>
      <c r="C238" s="1264"/>
      <c r="D238" s="573"/>
      <c r="E238" s="574" t="s">
        <v>299</v>
      </c>
      <c r="F238" s="205">
        <f>F239+F264+F269+F273+F278+F328+F336+F344+F340+F332</f>
        <v>235135561</v>
      </c>
    </row>
    <row r="239" spans="1:7" ht="17.100000000000001" customHeight="1">
      <c r="A239" s="575"/>
      <c r="B239" s="1265" t="s">
        <v>300</v>
      </c>
      <c r="C239" s="1266"/>
      <c r="D239" s="576"/>
      <c r="E239" s="577" t="s">
        <v>301</v>
      </c>
      <c r="F239" s="206">
        <f>F240+F254</f>
        <v>49342500</v>
      </c>
    </row>
    <row r="240" spans="1:7" ht="17.100000000000001" customHeight="1">
      <c r="A240" s="575"/>
      <c r="B240" s="1299"/>
      <c r="C240" s="1321"/>
      <c r="D240" s="1271" t="s">
        <v>146</v>
      </c>
      <c r="E240" s="1272"/>
      <c r="F240" s="207">
        <f>F241+F247+F250</f>
        <v>47337600</v>
      </c>
    </row>
    <row r="241" spans="1:6" ht="17.100000000000001" customHeight="1">
      <c r="A241" s="575"/>
      <c r="B241" s="1322"/>
      <c r="C241" s="1323"/>
      <c r="D241" s="1273" t="s">
        <v>147</v>
      </c>
      <c r="E241" s="1283"/>
      <c r="F241" s="210">
        <f>F242</f>
        <v>7337600</v>
      </c>
    </row>
    <row r="242" spans="1:6" ht="17.100000000000001" customHeight="1">
      <c r="A242" s="575"/>
      <c r="B242" s="1322"/>
      <c r="C242" s="1323"/>
      <c r="D242" s="1279" t="s">
        <v>159</v>
      </c>
      <c r="E242" s="1280"/>
      <c r="F242" s="209">
        <f>SUM(F243:F245)</f>
        <v>7337600</v>
      </c>
    </row>
    <row r="243" spans="1:6" ht="17.100000000000001" customHeight="1">
      <c r="A243" s="575"/>
      <c r="B243" s="1322"/>
      <c r="C243" s="1323"/>
      <c r="D243" s="578" t="s">
        <v>166</v>
      </c>
      <c r="E243" s="579" t="s">
        <v>167</v>
      </c>
      <c r="F243" s="210">
        <v>6537600</v>
      </c>
    </row>
    <row r="244" spans="1:6" ht="17.100000000000001" customHeight="1">
      <c r="A244" s="575"/>
      <c r="B244" s="1322"/>
      <c r="C244" s="1323"/>
      <c r="D244" s="578" t="s">
        <v>257</v>
      </c>
      <c r="E244" s="579" t="s">
        <v>258</v>
      </c>
      <c r="F244" s="210">
        <v>100000</v>
      </c>
    </row>
    <row r="245" spans="1:6" ht="17.100000000000001" customHeight="1">
      <c r="A245" s="575"/>
      <c r="B245" s="1322"/>
      <c r="C245" s="1323"/>
      <c r="D245" s="578" t="s">
        <v>178</v>
      </c>
      <c r="E245" s="579" t="s">
        <v>179</v>
      </c>
      <c r="F245" s="210">
        <v>700000</v>
      </c>
    </row>
    <row r="246" spans="1:6" ht="17.100000000000001" customHeight="1">
      <c r="A246" s="575"/>
      <c r="B246" s="1322"/>
      <c r="C246" s="1323"/>
      <c r="D246" s="1277"/>
      <c r="E246" s="1281"/>
      <c r="F246" s="1282"/>
    </row>
    <row r="247" spans="1:6" ht="17.100000000000001" customHeight="1">
      <c r="A247" s="575"/>
      <c r="B247" s="1322"/>
      <c r="C247" s="1323"/>
      <c r="D247" s="1273" t="s">
        <v>209</v>
      </c>
      <c r="E247" s="1283"/>
      <c r="F247" s="210">
        <f>F248</f>
        <v>40000000</v>
      </c>
    </row>
    <row r="248" spans="1:6" ht="29.25" customHeight="1">
      <c r="A248" s="575"/>
      <c r="B248" s="1322"/>
      <c r="C248" s="1323"/>
      <c r="D248" s="578" t="s">
        <v>210</v>
      </c>
      <c r="E248" s="579" t="s">
        <v>302</v>
      </c>
      <c r="F248" s="210">
        <v>40000000</v>
      </c>
    </row>
    <row r="249" spans="1:6" ht="17.100000000000001" customHeight="1">
      <c r="A249" s="575"/>
      <c r="B249" s="1322"/>
      <c r="C249" s="1323"/>
      <c r="D249" s="1277"/>
      <c r="E249" s="1281"/>
      <c r="F249" s="1282"/>
    </row>
    <row r="250" spans="1:6" ht="17.100000000000001" hidden="1" customHeight="1">
      <c r="A250" s="575"/>
      <c r="B250" s="1322"/>
      <c r="C250" s="1323"/>
      <c r="D250" s="1273" t="s">
        <v>213</v>
      </c>
      <c r="E250" s="1283"/>
      <c r="F250" s="210">
        <f>SUM(F251:F252)</f>
        <v>0</v>
      </c>
    </row>
    <row r="251" spans="1:6" ht="17.100000000000001" hidden="1" customHeight="1">
      <c r="A251" s="575"/>
      <c r="B251" s="1322"/>
      <c r="C251" s="1323"/>
      <c r="D251" s="578" t="s">
        <v>297</v>
      </c>
      <c r="E251" s="579" t="s">
        <v>258</v>
      </c>
      <c r="F251" s="210"/>
    </row>
    <row r="252" spans="1:6" ht="17.100000000000001" hidden="1" customHeight="1">
      <c r="A252" s="575"/>
      <c r="B252" s="1322"/>
      <c r="C252" s="1323"/>
      <c r="D252" s="578" t="s">
        <v>298</v>
      </c>
      <c r="E252" s="579" t="s">
        <v>258</v>
      </c>
      <c r="F252" s="210"/>
    </row>
    <row r="253" spans="1:6" ht="17.100000000000001" hidden="1" customHeight="1">
      <c r="A253" s="575"/>
      <c r="B253" s="1322"/>
      <c r="C253" s="1323"/>
      <c r="D253" s="1277"/>
      <c r="E253" s="1281"/>
      <c r="F253" s="1282"/>
    </row>
    <row r="254" spans="1:6" ht="17.100000000000001" customHeight="1">
      <c r="A254" s="575"/>
      <c r="B254" s="1322"/>
      <c r="C254" s="1323"/>
      <c r="D254" s="1312" t="s">
        <v>202</v>
      </c>
      <c r="E254" s="1313"/>
      <c r="F254" s="207">
        <f>F255</f>
        <v>2004900</v>
      </c>
    </row>
    <row r="255" spans="1:6" ht="17.100000000000001" customHeight="1">
      <c r="A255" s="575"/>
      <c r="B255" s="1322"/>
      <c r="C255" s="1323"/>
      <c r="D255" s="1285" t="s">
        <v>203</v>
      </c>
      <c r="E255" s="1286"/>
      <c r="F255" s="210">
        <f>SUM(F256:F258)</f>
        <v>2004900</v>
      </c>
    </row>
    <row r="256" spans="1:6" ht="17.100000000000001" customHeight="1">
      <c r="A256" s="575"/>
      <c r="B256" s="1322"/>
      <c r="C256" s="1323"/>
      <c r="D256" s="578" t="s">
        <v>245</v>
      </c>
      <c r="E256" s="579" t="s">
        <v>246</v>
      </c>
      <c r="F256" s="210">
        <v>2004900</v>
      </c>
    </row>
    <row r="257" spans="1:7" ht="17.100000000000001" hidden="1" customHeight="1">
      <c r="A257" s="575"/>
      <c r="B257" s="1322"/>
      <c r="C257" s="1323"/>
      <c r="D257" s="578" t="s">
        <v>303</v>
      </c>
      <c r="E257" s="579" t="s">
        <v>246</v>
      </c>
      <c r="F257" s="210"/>
      <c r="G257" s="213"/>
    </row>
    <row r="258" spans="1:7" ht="17.100000000000001" hidden="1" customHeight="1">
      <c r="A258" s="575"/>
      <c r="B258" s="1322"/>
      <c r="C258" s="1323"/>
      <c r="D258" s="578" t="s">
        <v>274</v>
      </c>
      <c r="E258" s="579" t="s">
        <v>246</v>
      </c>
      <c r="F258" s="210"/>
      <c r="G258" s="213"/>
    </row>
    <row r="259" spans="1:7" ht="17.100000000000001" hidden="1" customHeight="1">
      <c r="A259" s="575"/>
      <c r="B259" s="1322"/>
      <c r="C259" s="1323"/>
      <c r="D259" s="1277"/>
      <c r="E259" s="1291"/>
      <c r="F259" s="1292"/>
      <c r="G259" s="213"/>
    </row>
    <row r="260" spans="1:7" ht="17.100000000000001" hidden="1" customHeight="1">
      <c r="A260" s="575"/>
      <c r="B260" s="1322"/>
      <c r="C260" s="1323"/>
      <c r="D260" s="1279" t="s">
        <v>206</v>
      </c>
      <c r="E260" s="1311"/>
      <c r="F260" s="210">
        <f>F261+F262+F263</f>
        <v>0</v>
      </c>
      <c r="G260" s="213"/>
    </row>
    <row r="261" spans="1:7" ht="17.100000000000001" hidden="1" customHeight="1">
      <c r="A261" s="575"/>
      <c r="B261" s="1322"/>
      <c r="C261" s="1323"/>
      <c r="D261" s="578" t="s">
        <v>245</v>
      </c>
      <c r="E261" s="579" t="s">
        <v>246</v>
      </c>
      <c r="F261" s="210"/>
      <c r="G261" s="213"/>
    </row>
    <row r="262" spans="1:7" ht="17.100000000000001" hidden="1" customHeight="1">
      <c r="A262" s="575"/>
      <c r="B262" s="1324"/>
      <c r="C262" s="1325"/>
      <c r="D262" s="578" t="s">
        <v>303</v>
      </c>
      <c r="E262" s="579" t="s">
        <v>246</v>
      </c>
      <c r="F262" s="210"/>
      <c r="G262" s="213"/>
    </row>
    <row r="263" spans="1:7" ht="17.100000000000001" hidden="1" customHeight="1">
      <c r="A263" s="575"/>
      <c r="B263" s="1326"/>
      <c r="C263" s="1327"/>
      <c r="D263" s="578" t="s">
        <v>274</v>
      </c>
      <c r="E263" s="579" t="s">
        <v>246</v>
      </c>
      <c r="F263" s="210"/>
      <c r="G263" s="213"/>
    </row>
    <row r="264" spans="1:7" ht="17.100000000000001" customHeight="1">
      <c r="A264" s="575"/>
      <c r="B264" s="1265" t="s">
        <v>304</v>
      </c>
      <c r="C264" s="1266"/>
      <c r="D264" s="576"/>
      <c r="E264" s="577" t="s">
        <v>305</v>
      </c>
      <c r="F264" s="206">
        <f>F265</f>
        <v>333000</v>
      </c>
    </row>
    <row r="265" spans="1:7" ht="17.100000000000001" customHeight="1">
      <c r="A265" s="575"/>
      <c r="B265" s="600"/>
      <c r="C265" s="557"/>
      <c r="D265" s="1271" t="s">
        <v>146</v>
      </c>
      <c r="E265" s="1272"/>
      <c r="F265" s="207">
        <f>F266</f>
        <v>333000</v>
      </c>
    </row>
    <row r="266" spans="1:7" ht="17.100000000000001" customHeight="1">
      <c r="A266" s="575"/>
      <c r="B266" s="600"/>
      <c r="C266" s="557"/>
      <c r="D266" s="1273" t="s">
        <v>147</v>
      </c>
      <c r="E266" s="1283"/>
      <c r="F266" s="210">
        <f>F267</f>
        <v>333000</v>
      </c>
    </row>
    <row r="267" spans="1:7" ht="17.100000000000001" customHeight="1">
      <c r="A267" s="575"/>
      <c r="B267" s="600"/>
      <c r="C267" s="557"/>
      <c r="D267" s="1279" t="s">
        <v>159</v>
      </c>
      <c r="E267" s="1280"/>
      <c r="F267" s="209">
        <f>SUM(F268)</f>
        <v>333000</v>
      </c>
    </row>
    <row r="268" spans="1:7" ht="17.100000000000001" customHeight="1">
      <c r="A268" s="575"/>
      <c r="B268" s="600"/>
      <c r="C268" s="558"/>
      <c r="D268" s="578" t="s">
        <v>257</v>
      </c>
      <c r="E268" s="579" t="s">
        <v>258</v>
      </c>
      <c r="F268" s="210">
        <v>333000</v>
      </c>
    </row>
    <row r="269" spans="1:7" ht="17.100000000000001" customHeight="1">
      <c r="A269" s="575"/>
      <c r="B269" s="1265" t="s">
        <v>8</v>
      </c>
      <c r="C269" s="1266"/>
      <c r="D269" s="576"/>
      <c r="E269" s="577" t="s">
        <v>306</v>
      </c>
      <c r="F269" s="214">
        <f>F270</f>
        <v>58720000</v>
      </c>
    </row>
    <row r="270" spans="1:7" ht="17.100000000000001" customHeight="1">
      <c r="A270" s="575"/>
      <c r="B270" s="1267"/>
      <c r="C270" s="1268"/>
      <c r="D270" s="1332" t="s">
        <v>146</v>
      </c>
      <c r="E270" s="1272"/>
      <c r="F270" s="207">
        <f>F271</f>
        <v>58720000</v>
      </c>
    </row>
    <row r="271" spans="1:7" ht="17.100000000000001" customHeight="1">
      <c r="A271" s="575"/>
      <c r="B271" s="1269"/>
      <c r="C271" s="1288"/>
      <c r="D271" s="1273" t="s">
        <v>209</v>
      </c>
      <c r="E271" s="1283"/>
      <c r="F271" s="215">
        <f>F272</f>
        <v>58720000</v>
      </c>
    </row>
    <row r="272" spans="1:7" ht="25.5">
      <c r="A272" s="575"/>
      <c r="B272" s="1297"/>
      <c r="C272" s="1298"/>
      <c r="D272" s="578" t="s">
        <v>9</v>
      </c>
      <c r="E272" s="579" t="s">
        <v>307</v>
      </c>
      <c r="F272" s="601">
        <v>58720000</v>
      </c>
    </row>
    <row r="273" spans="1:6" ht="17.100000000000001" customHeight="1">
      <c r="A273" s="575"/>
      <c r="B273" s="1265" t="s">
        <v>308</v>
      </c>
      <c r="C273" s="1266"/>
      <c r="D273" s="576"/>
      <c r="E273" s="577" t="s">
        <v>309</v>
      </c>
      <c r="F273" s="206">
        <f>F274</f>
        <v>159000</v>
      </c>
    </row>
    <row r="274" spans="1:6" ht="17.100000000000001" customHeight="1">
      <c r="A274" s="575"/>
      <c r="B274" s="1267"/>
      <c r="C274" s="1268"/>
      <c r="D274" s="1271" t="s">
        <v>146</v>
      </c>
      <c r="E274" s="1272"/>
      <c r="F274" s="207">
        <f>F275</f>
        <v>159000</v>
      </c>
    </row>
    <row r="275" spans="1:6" ht="17.100000000000001" customHeight="1">
      <c r="A275" s="575"/>
      <c r="B275" s="1269"/>
      <c r="C275" s="1270"/>
      <c r="D275" s="1273" t="s">
        <v>147</v>
      </c>
      <c r="E275" s="1283"/>
      <c r="F275" s="210">
        <f>F276</f>
        <v>159000</v>
      </c>
    </row>
    <row r="276" spans="1:6" ht="17.100000000000001" customHeight="1">
      <c r="A276" s="575"/>
      <c r="B276" s="1269"/>
      <c r="C276" s="1270"/>
      <c r="D276" s="1279" t="s">
        <v>159</v>
      </c>
      <c r="E276" s="1280"/>
      <c r="F276" s="210">
        <f>F277</f>
        <v>159000</v>
      </c>
    </row>
    <row r="277" spans="1:6" ht="17.100000000000001" customHeight="1">
      <c r="A277" s="575"/>
      <c r="B277" s="1297"/>
      <c r="C277" s="1298"/>
      <c r="D277" s="578" t="s">
        <v>257</v>
      </c>
      <c r="E277" s="579" t="s">
        <v>258</v>
      </c>
      <c r="F277" s="210">
        <v>159000</v>
      </c>
    </row>
    <row r="278" spans="1:6" ht="17.100000000000001" customHeight="1">
      <c r="A278" s="575"/>
      <c r="B278" s="1265" t="s">
        <v>310</v>
      </c>
      <c r="C278" s="1266"/>
      <c r="D278" s="576"/>
      <c r="E278" s="577" t="s">
        <v>311</v>
      </c>
      <c r="F278" s="206">
        <f>F279+F312</f>
        <v>123710446</v>
      </c>
    </row>
    <row r="279" spans="1:6" ht="17.100000000000001" customHeight="1">
      <c r="A279" s="575"/>
      <c r="B279" s="580"/>
      <c r="C279" s="550"/>
      <c r="D279" s="1271" t="s">
        <v>146</v>
      </c>
      <c r="E279" s="1272"/>
      <c r="F279" s="207">
        <f>F280+F309</f>
        <v>50798779</v>
      </c>
    </row>
    <row r="280" spans="1:6" ht="17.100000000000001" customHeight="1">
      <c r="A280" s="575"/>
      <c r="B280" s="580"/>
      <c r="C280" s="550"/>
      <c r="D280" s="1273" t="s">
        <v>147</v>
      </c>
      <c r="E280" s="1283"/>
      <c r="F280" s="210">
        <f>F281+F288</f>
        <v>50613779</v>
      </c>
    </row>
    <row r="281" spans="1:6" ht="17.100000000000001" customHeight="1">
      <c r="A281" s="575"/>
      <c r="B281" s="580"/>
      <c r="C281" s="550"/>
      <c r="D281" s="1275" t="s">
        <v>148</v>
      </c>
      <c r="E281" s="1284"/>
      <c r="F281" s="210">
        <f>SUM(F282:F286)</f>
        <v>14554284</v>
      </c>
    </row>
    <row r="282" spans="1:6" ht="17.100000000000001" customHeight="1">
      <c r="A282" s="575"/>
      <c r="B282" s="1277"/>
      <c r="C282" s="1278"/>
      <c r="D282" s="578" t="s">
        <v>149</v>
      </c>
      <c r="E282" s="579" t="s">
        <v>150</v>
      </c>
      <c r="F282" s="210">
        <v>11160832</v>
      </c>
    </row>
    <row r="283" spans="1:6" ht="17.100000000000001" customHeight="1">
      <c r="A283" s="575"/>
      <c r="B283" s="1277"/>
      <c r="C283" s="1278"/>
      <c r="D283" s="578" t="s">
        <v>151</v>
      </c>
      <c r="E283" s="579" t="s">
        <v>152</v>
      </c>
      <c r="F283" s="210">
        <v>896660</v>
      </c>
    </row>
    <row r="284" spans="1:6" ht="17.100000000000001" customHeight="1">
      <c r="A284" s="575"/>
      <c r="B284" s="1277"/>
      <c r="C284" s="1278"/>
      <c r="D284" s="578" t="s">
        <v>153</v>
      </c>
      <c r="E284" s="579" t="s">
        <v>154</v>
      </c>
      <c r="F284" s="210">
        <v>2159177</v>
      </c>
    </row>
    <row r="285" spans="1:6" ht="17.100000000000001" customHeight="1">
      <c r="A285" s="575"/>
      <c r="B285" s="1277"/>
      <c r="C285" s="1278"/>
      <c r="D285" s="578" t="s">
        <v>155</v>
      </c>
      <c r="E285" s="579" t="s">
        <v>156</v>
      </c>
      <c r="F285" s="210">
        <v>287615</v>
      </c>
    </row>
    <row r="286" spans="1:6" ht="17.100000000000001" customHeight="1">
      <c r="A286" s="575"/>
      <c r="B286" s="1277"/>
      <c r="C286" s="1278"/>
      <c r="D286" s="578" t="s">
        <v>157</v>
      </c>
      <c r="E286" s="579" t="s">
        <v>158</v>
      </c>
      <c r="F286" s="210">
        <v>50000</v>
      </c>
    </row>
    <row r="287" spans="1:6" ht="17.100000000000001" customHeight="1">
      <c r="A287" s="575"/>
      <c r="B287" s="580"/>
      <c r="C287" s="550"/>
      <c r="D287" s="1277"/>
      <c r="E287" s="1281"/>
      <c r="F287" s="1282"/>
    </row>
    <row r="288" spans="1:6" ht="17.100000000000001" customHeight="1">
      <c r="A288" s="575"/>
      <c r="B288" s="580"/>
      <c r="C288" s="550"/>
      <c r="D288" s="1279" t="s">
        <v>159</v>
      </c>
      <c r="E288" s="1280"/>
      <c r="F288" s="210">
        <f>SUM(F289:F307)</f>
        <v>36059495</v>
      </c>
    </row>
    <row r="289" spans="1:9" ht="17.100000000000001" customHeight="1">
      <c r="A289" s="575"/>
      <c r="B289" s="580"/>
      <c r="C289" s="550"/>
      <c r="D289" s="578" t="s">
        <v>160</v>
      </c>
      <c r="E289" s="579" t="s">
        <v>161</v>
      </c>
      <c r="F289" s="210">
        <v>195765</v>
      </c>
    </row>
    <row r="290" spans="1:9" ht="17.100000000000001" customHeight="1">
      <c r="A290" s="575"/>
      <c r="B290" s="1277"/>
      <c r="C290" s="1278"/>
      <c r="D290" s="578" t="s">
        <v>162</v>
      </c>
      <c r="E290" s="579" t="s">
        <v>163</v>
      </c>
      <c r="F290" s="210">
        <v>5275000</v>
      </c>
    </row>
    <row r="291" spans="1:9" ht="17.100000000000001" customHeight="1">
      <c r="A291" s="575"/>
      <c r="B291" s="1277"/>
      <c r="C291" s="1278"/>
      <c r="D291" s="578" t="s">
        <v>164</v>
      </c>
      <c r="E291" s="579" t="s">
        <v>165</v>
      </c>
      <c r="F291" s="210">
        <v>698000</v>
      </c>
    </row>
    <row r="292" spans="1:9" ht="17.100000000000001" customHeight="1">
      <c r="A292" s="575"/>
      <c r="B292" s="1277"/>
      <c r="C292" s="1278"/>
      <c r="D292" s="578" t="s">
        <v>166</v>
      </c>
      <c r="E292" s="579" t="s">
        <v>167</v>
      </c>
      <c r="F292" s="210">
        <f>15786532-500000</f>
        <v>15286532</v>
      </c>
    </row>
    <row r="293" spans="1:9" ht="17.100000000000001" customHeight="1">
      <c r="A293" s="575"/>
      <c r="B293" s="1277"/>
      <c r="C293" s="1278"/>
      <c r="D293" s="578" t="s">
        <v>168</v>
      </c>
      <c r="E293" s="579" t="s">
        <v>169</v>
      </c>
      <c r="F293" s="210">
        <v>45500</v>
      </c>
    </row>
    <row r="294" spans="1:9" ht="17.100000000000001" customHeight="1">
      <c r="A294" s="575"/>
      <c r="B294" s="1277"/>
      <c r="C294" s="1278"/>
      <c r="D294" s="578" t="s">
        <v>170</v>
      </c>
      <c r="E294" s="579" t="s">
        <v>171</v>
      </c>
      <c r="F294" s="210">
        <f>20000+12751833</f>
        <v>12771833</v>
      </c>
      <c r="H294" s="201" t="s">
        <v>312</v>
      </c>
      <c r="I294" s="201" t="s">
        <v>313</v>
      </c>
    </row>
    <row r="295" spans="1:9" ht="16.5" customHeight="1">
      <c r="A295" s="575"/>
      <c r="B295" s="1277"/>
      <c r="C295" s="1278"/>
      <c r="D295" s="578" t="s">
        <v>172</v>
      </c>
      <c r="E295" s="579" t="s">
        <v>173</v>
      </c>
      <c r="F295" s="210">
        <v>80000</v>
      </c>
    </row>
    <row r="296" spans="1:9" ht="17.100000000000001" customHeight="1">
      <c r="A296" s="575"/>
      <c r="B296" s="1277"/>
      <c r="C296" s="1278"/>
      <c r="D296" s="578" t="s">
        <v>257</v>
      </c>
      <c r="E296" s="579" t="s">
        <v>258</v>
      </c>
      <c r="F296" s="210">
        <v>437000</v>
      </c>
    </row>
    <row r="297" spans="1:9" ht="17.100000000000001" customHeight="1">
      <c r="A297" s="575"/>
      <c r="B297" s="1277"/>
      <c r="C297" s="1278"/>
      <c r="D297" s="578" t="s">
        <v>176</v>
      </c>
      <c r="E297" s="579" t="s">
        <v>177</v>
      </c>
      <c r="F297" s="210">
        <v>35000</v>
      </c>
    </row>
    <row r="298" spans="1:9" ht="17.100000000000001" hidden="1" customHeight="1">
      <c r="A298" s="575"/>
      <c r="B298" s="1277"/>
      <c r="C298" s="1278"/>
      <c r="D298" s="578" t="s">
        <v>314</v>
      </c>
      <c r="E298" s="579" t="s">
        <v>315</v>
      </c>
      <c r="F298" s="210">
        <v>0</v>
      </c>
    </row>
    <row r="299" spans="1:9" ht="17.100000000000001" customHeight="1">
      <c r="A299" s="575"/>
      <c r="B299" s="1277"/>
      <c r="C299" s="1278"/>
      <c r="D299" s="578" t="s">
        <v>178</v>
      </c>
      <c r="E299" s="579" t="s">
        <v>179</v>
      </c>
      <c r="F299" s="210">
        <v>560000</v>
      </c>
    </row>
    <row r="300" spans="1:9" ht="17.100000000000001" customHeight="1">
      <c r="A300" s="575"/>
      <c r="B300" s="1277"/>
      <c r="C300" s="1278"/>
      <c r="D300" s="578" t="s">
        <v>180</v>
      </c>
      <c r="E300" s="579" t="s">
        <v>181</v>
      </c>
      <c r="F300" s="210">
        <v>266665</v>
      </c>
    </row>
    <row r="301" spans="1:9" ht="17.100000000000001" customHeight="1">
      <c r="A301" s="575"/>
      <c r="B301" s="1277"/>
      <c r="C301" s="1278"/>
      <c r="D301" s="578" t="s">
        <v>182</v>
      </c>
      <c r="E301" s="579" t="s">
        <v>183</v>
      </c>
      <c r="F301" s="210">
        <v>126000</v>
      </c>
    </row>
    <row r="302" spans="1:9" ht="17.100000000000001" customHeight="1">
      <c r="A302" s="575"/>
      <c r="B302" s="1277"/>
      <c r="C302" s="1278"/>
      <c r="D302" s="578" t="s">
        <v>200</v>
      </c>
      <c r="E302" s="579" t="s">
        <v>201</v>
      </c>
      <c r="F302" s="210">
        <v>20000</v>
      </c>
    </row>
    <row r="303" spans="1:9" ht="17.100000000000001" customHeight="1">
      <c r="A303" s="575"/>
      <c r="B303" s="1277"/>
      <c r="C303" s="1278"/>
      <c r="D303" s="578" t="s">
        <v>184</v>
      </c>
      <c r="E303" s="579" t="s">
        <v>185</v>
      </c>
      <c r="F303" s="210">
        <v>3000</v>
      </c>
    </row>
    <row r="304" spans="1:9" ht="17.100000000000001" customHeight="1">
      <c r="A304" s="575"/>
      <c r="B304" s="1277"/>
      <c r="C304" s="1278"/>
      <c r="D304" s="578" t="s">
        <v>186</v>
      </c>
      <c r="E304" s="579" t="s">
        <v>187</v>
      </c>
      <c r="F304" s="210">
        <v>159200</v>
      </c>
    </row>
    <row r="305" spans="1:7" ht="17.100000000000001" customHeight="1">
      <c r="A305" s="575"/>
      <c r="B305" s="580"/>
      <c r="C305" s="550"/>
      <c r="D305" s="578" t="s">
        <v>259</v>
      </c>
      <c r="E305" s="579" t="s">
        <v>260</v>
      </c>
      <c r="F305" s="210">
        <v>20000</v>
      </c>
    </row>
    <row r="306" spans="1:7" ht="17.100000000000001" customHeight="1">
      <c r="A306" s="575"/>
      <c r="B306" s="580"/>
      <c r="C306" s="550"/>
      <c r="D306" s="578" t="s">
        <v>195</v>
      </c>
      <c r="E306" s="579" t="s">
        <v>196</v>
      </c>
      <c r="F306" s="210">
        <v>20000</v>
      </c>
    </row>
    <row r="307" spans="1:7" ht="17.100000000000001" customHeight="1">
      <c r="A307" s="575"/>
      <c r="B307" s="1277"/>
      <c r="C307" s="1278"/>
      <c r="D307" s="578" t="s">
        <v>188</v>
      </c>
      <c r="E307" s="579" t="s">
        <v>189</v>
      </c>
      <c r="F307" s="210">
        <v>60000</v>
      </c>
    </row>
    <row r="308" spans="1:7" ht="17.100000000000001" customHeight="1">
      <c r="A308" s="575"/>
      <c r="B308" s="580"/>
      <c r="C308" s="550"/>
      <c r="D308" s="1277"/>
      <c r="E308" s="1281"/>
      <c r="F308" s="1282"/>
    </row>
    <row r="309" spans="1:7" ht="17.100000000000001" customHeight="1">
      <c r="A309" s="575"/>
      <c r="B309" s="580"/>
      <c r="C309" s="550"/>
      <c r="D309" s="1285" t="s">
        <v>190</v>
      </c>
      <c r="E309" s="1286"/>
      <c r="F309" s="210">
        <f>F310</f>
        <v>185000</v>
      </c>
    </row>
    <row r="310" spans="1:7" ht="17.100000000000001" customHeight="1">
      <c r="A310" s="575"/>
      <c r="B310" s="580"/>
      <c r="C310" s="550"/>
      <c r="D310" s="578" t="s">
        <v>191</v>
      </c>
      <c r="E310" s="579" t="s">
        <v>192</v>
      </c>
      <c r="F310" s="210">
        <v>185000</v>
      </c>
    </row>
    <row r="311" spans="1:7" ht="17.100000000000001" customHeight="1">
      <c r="A311" s="575"/>
      <c r="B311" s="580"/>
      <c r="C311" s="550"/>
      <c r="D311" s="1277"/>
      <c r="E311" s="1281"/>
      <c r="F311" s="1282"/>
    </row>
    <row r="312" spans="1:7" ht="17.100000000000001" customHeight="1">
      <c r="A312" s="575"/>
      <c r="B312" s="580"/>
      <c r="C312" s="550"/>
      <c r="D312" s="1312" t="s">
        <v>202</v>
      </c>
      <c r="E312" s="1313"/>
      <c r="F312" s="207">
        <f>F313</f>
        <v>72911667</v>
      </c>
    </row>
    <row r="313" spans="1:7" ht="17.100000000000001" customHeight="1">
      <c r="A313" s="575"/>
      <c r="B313" s="580"/>
      <c r="C313" s="550"/>
      <c r="D313" s="1285" t="s">
        <v>272</v>
      </c>
      <c r="E313" s="1286"/>
      <c r="F313" s="210">
        <f>SUM(F314:F319)</f>
        <v>72911667</v>
      </c>
    </row>
    <row r="314" spans="1:7" ht="17.100000000000001" customHeight="1">
      <c r="A314" s="575"/>
      <c r="B314" s="1277"/>
      <c r="C314" s="1278"/>
      <c r="D314" s="578" t="s">
        <v>204</v>
      </c>
      <c r="E314" s="579" t="s">
        <v>205</v>
      </c>
      <c r="F314" s="210">
        <f>15125000+500000</f>
        <v>15625000</v>
      </c>
    </row>
    <row r="315" spans="1:7" ht="17.100000000000001" customHeight="1">
      <c r="A315" s="575"/>
      <c r="B315" s="1277"/>
      <c r="C315" s="1278"/>
      <c r="D315" s="578" t="s">
        <v>316</v>
      </c>
      <c r="E315" s="579" t="s">
        <v>205</v>
      </c>
      <c r="F315" s="210">
        <v>38068667</v>
      </c>
      <c r="G315" s="213"/>
    </row>
    <row r="316" spans="1:7" ht="17.100000000000001" customHeight="1">
      <c r="A316" s="575"/>
      <c r="B316" s="1277"/>
      <c r="C316" s="1278"/>
      <c r="D316" s="578" t="s">
        <v>253</v>
      </c>
      <c r="E316" s="579" t="s">
        <v>205</v>
      </c>
      <c r="F316" s="210">
        <v>6718000</v>
      </c>
    </row>
    <row r="317" spans="1:7" ht="17.100000000000001" customHeight="1">
      <c r="A317" s="575"/>
      <c r="B317" s="1277"/>
      <c r="C317" s="1278"/>
      <c r="D317" s="578" t="s">
        <v>245</v>
      </c>
      <c r="E317" s="579" t="s">
        <v>246</v>
      </c>
      <c r="F317" s="210">
        <v>3000000</v>
      </c>
      <c r="G317" s="213"/>
    </row>
    <row r="318" spans="1:7" ht="17.100000000000001" customHeight="1">
      <c r="A318" s="575"/>
      <c r="B318" s="1277"/>
      <c r="C318" s="1278"/>
      <c r="D318" s="578" t="s">
        <v>303</v>
      </c>
      <c r="E318" s="579" t="s">
        <v>246</v>
      </c>
      <c r="F318" s="210">
        <v>8500000</v>
      </c>
    </row>
    <row r="319" spans="1:7" ht="17.100000000000001" customHeight="1">
      <c r="A319" s="575"/>
      <c r="B319" s="1277"/>
      <c r="C319" s="1278"/>
      <c r="D319" s="578" t="s">
        <v>274</v>
      </c>
      <c r="E319" s="579" t="s">
        <v>246</v>
      </c>
      <c r="F319" s="210">
        <v>1000000</v>
      </c>
    </row>
    <row r="320" spans="1:7" ht="17.100000000000001" customHeight="1">
      <c r="A320" s="575"/>
      <c r="B320" s="580"/>
      <c r="C320" s="551"/>
      <c r="D320" s="1277"/>
      <c r="E320" s="1291"/>
      <c r="F320" s="1292"/>
    </row>
    <row r="321" spans="1:6" ht="17.100000000000001" customHeight="1">
      <c r="A321" s="575"/>
      <c r="B321" s="580"/>
      <c r="C321" s="551"/>
      <c r="D321" s="1279" t="s">
        <v>206</v>
      </c>
      <c r="E321" s="1311"/>
      <c r="F321" s="210">
        <f>SUM(F322:F327)</f>
        <v>58036667</v>
      </c>
    </row>
    <row r="322" spans="1:6" ht="17.100000000000001" customHeight="1">
      <c r="A322" s="575"/>
      <c r="B322" s="580"/>
      <c r="C322" s="551"/>
      <c r="D322" s="587" t="s">
        <v>204</v>
      </c>
      <c r="E322" s="588" t="s">
        <v>205</v>
      </c>
      <c r="F322" s="210">
        <v>3250000</v>
      </c>
    </row>
    <row r="323" spans="1:6" ht="17.100000000000001" customHeight="1">
      <c r="A323" s="575"/>
      <c r="B323" s="580"/>
      <c r="C323" s="551"/>
      <c r="D323" s="587" t="s">
        <v>316</v>
      </c>
      <c r="E323" s="602" t="s">
        <v>205</v>
      </c>
      <c r="F323" s="210">
        <v>38068667</v>
      </c>
    </row>
    <row r="324" spans="1:6" ht="17.100000000000001" customHeight="1">
      <c r="A324" s="575"/>
      <c r="B324" s="580"/>
      <c r="C324" s="551"/>
      <c r="D324" s="578" t="s">
        <v>253</v>
      </c>
      <c r="E324" s="579" t="s">
        <v>205</v>
      </c>
      <c r="F324" s="210">
        <v>6718000</v>
      </c>
    </row>
    <row r="325" spans="1:6" ht="17.100000000000001" customHeight="1">
      <c r="A325" s="575"/>
      <c r="B325" s="580"/>
      <c r="C325" s="551"/>
      <c r="D325" s="578" t="s">
        <v>245</v>
      </c>
      <c r="E325" s="579" t="s">
        <v>246</v>
      </c>
      <c r="F325" s="210">
        <v>500000</v>
      </c>
    </row>
    <row r="326" spans="1:6" ht="17.100000000000001" customHeight="1">
      <c r="A326" s="575"/>
      <c r="B326" s="580"/>
      <c r="C326" s="551"/>
      <c r="D326" s="578" t="s">
        <v>303</v>
      </c>
      <c r="E326" s="579" t="s">
        <v>246</v>
      </c>
      <c r="F326" s="210">
        <v>8500000</v>
      </c>
    </row>
    <row r="327" spans="1:6" ht="17.100000000000001" customHeight="1">
      <c r="A327" s="575"/>
      <c r="B327" s="580"/>
      <c r="C327" s="551"/>
      <c r="D327" s="578" t="s">
        <v>274</v>
      </c>
      <c r="E327" s="579" t="s">
        <v>246</v>
      </c>
      <c r="F327" s="210">
        <v>1000000</v>
      </c>
    </row>
    <row r="328" spans="1:6" ht="17.100000000000001" hidden="1" customHeight="1">
      <c r="A328" s="575"/>
      <c r="B328" s="580"/>
      <c r="C328" s="562" t="s">
        <v>317</v>
      </c>
      <c r="D328" s="603"/>
      <c r="E328" s="577" t="s">
        <v>318</v>
      </c>
      <c r="F328" s="206">
        <f>F329</f>
        <v>0</v>
      </c>
    </row>
    <row r="329" spans="1:6" ht="17.100000000000001" hidden="1" customHeight="1">
      <c r="A329" s="575"/>
      <c r="B329" s="580"/>
      <c r="C329" s="550"/>
      <c r="D329" s="1312" t="s">
        <v>319</v>
      </c>
      <c r="E329" s="1313"/>
      <c r="F329" s="210">
        <f>F330</f>
        <v>0</v>
      </c>
    </row>
    <row r="330" spans="1:6" ht="17.100000000000001" hidden="1" customHeight="1">
      <c r="A330" s="575"/>
      <c r="B330" s="580"/>
      <c r="C330" s="550"/>
      <c r="D330" s="1285" t="s">
        <v>292</v>
      </c>
      <c r="E330" s="1286"/>
      <c r="F330" s="210">
        <f>F331</f>
        <v>0</v>
      </c>
    </row>
    <row r="331" spans="1:6" ht="42" hidden="1" customHeight="1">
      <c r="A331" s="575"/>
      <c r="B331" s="580"/>
      <c r="C331" s="550"/>
      <c r="D331" s="583" t="s">
        <v>320</v>
      </c>
      <c r="E331" s="584" t="s">
        <v>321</v>
      </c>
      <c r="F331" s="585"/>
    </row>
    <row r="332" spans="1:6" ht="24" customHeight="1">
      <c r="A332" s="575"/>
      <c r="B332" s="580"/>
      <c r="C332" s="562" t="s">
        <v>322</v>
      </c>
      <c r="D332" s="216"/>
      <c r="E332" s="217" t="s">
        <v>323</v>
      </c>
      <c r="F332" s="604">
        <f>F333</f>
        <v>1076180</v>
      </c>
    </row>
    <row r="333" spans="1:6" ht="21" customHeight="1">
      <c r="A333" s="575"/>
      <c r="B333" s="580"/>
      <c r="C333" s="1333"/>
      <c r="D333" s="1336" t="s">
        <v>202</v>
      </c>
      <c r="E333" s="1337"/>
      <c r="F333" s="585">
        <f>F334</f>
        <v>1076180</v>
      </c>
    </row>
    <row r="334" spans="1:6" ht="18" customHeight="1">
      <c r="A334" s="575"/>
      <c r="B334" s="580"/>
      <c r="C334" s="1334"/>
      <c r="D334" s="1285" t="s">
        <v>272</v>
      </c>
      <c r="E334" s="1286"/>
      <c r="F334" s="585">
        <f>F335</f>
        <v>1076180</v>
      </c>
    </row>
    <row r="335" spans="1:6" ht="45" customHeight="1">
      <c r="A335" s="575"/>
      <c r="B335" s="580"/>
      <c r="C335" s="1335"/>
      <c r="D335" s="211" t="s">
        <v>284</v>
      </c>
      <c r="E335" s="559" t="s">
        <v>280</v>
      </c>
      <c r="F335" s="585">
        <v>1076180</v>
      </c>
    </row>
    <row r="336" spans="1:6" ht="24" customHeight="1">
      <c r="A336" s="575"/>
      <c r="B336" s="580"/>
      <c r="C336" s="562" t="s">
        <v>324</v>
      </c>
      <c r="D336" s="216"/>
      <c r="E336" s="217" t="s">
        <v>325</v>
      </c>
      <c r="F336" s="604">
        <f>F337</f>
        <v>1720435</v>
      </c>
    </row>
    <row r="337" spans="1:6" ht="21" customHeight="1">
      <c r="A337" s="575"/>
      <c r="B337" s="580"/>
      <c r="C337" s="1333"/>
      <c r="D337" s="1336" t="s">
        <v>202</v>
      </c>
      <c r="E337" s="1337"/>
      <c r="F337" s="585">
        <f>F338</f>
        <v>1720435</v>
      </c>
    </row>
    <row r="338" spans="1:6" ht="18" customHeight="1">
      <c r="A338" s="575"/>
      <c r="B338" s="580"/>
      <c r="C338" s="1334"/>
      <c r="D338" s="1285" t="s">
        <v>272</v>
      </c>
      <c r="E338" s="1286"/>
      <c r="F338" s="585">
        <f>F339</f>
        <v>1720435</v>
      </c>
    </row>
    <row r="339" spans="1:6" ht="45" customHeight="1">
      <c r="A339" s="575"/>
      <c r="B339" s="580"/>
      <c r="C339" s="1335"/>
      <c r="D339" s="211" t="s">
        <v>284</v>
      </c>
      <c r="E339" s="559" t="s">
        <v>280</v>
      </c>
      <c r="F339" s="585">
        <v>1720435</v>
      </c>
    </row>
    <row r="340" spans="1:6" ht="18.75" hidden="1" customHeight="1">
      <c r="A340" s="575"/>
      <c r="B340" s="580"/>
      <c r="C340" s="562" t="s">
        <v>326</v>
      </c>
      <c r="D340" s="216"/>
      <c r="E340" s="217" t="s">
        <v>252</v>
      </c>
      <c r="F340" s="206">
        <f>F341</f>
        <v>0</v>
      </c>
    </row>
    <row r="341" spans="1:6" ht="15.75" hidden="1" customHeight="1">
      <c r="A341" s="575"/>
      <c r="B341" s="580"/>
      <c r="C341" s="566"/>
      <c r="D341" s="1340" t="s">
        <v>202</v>
      </c>
      <c r="E341" s="1341"/>
      <c r="F341" s="605">
        <f>F342</f>
        <v>0</v>
      </c>
    </row>
    <row r="342" spans="1:6" ht="15" hidden="1" customHeight="1">
      <c r="A342" s="575"/>
      <c r="B342" s="580"/>
      <c r="C342" s="566"/>
      <c r="D342" s="1285" t="s">
        <v>272</v>
      </c>
      <c r="E342" s="1286"/>
      <c r="F342" s="605">
        <f>F343</f>
        <v>0</v>
      </c>
    </row>
    <row r="343" spans="1:6" ht="21" hidden="1" customHeight="1">
      <c r="A343" s="575"/>
      <c r="B343" s="580"/>
      <c r="C343" s="566"/>
      <c r="D343" s="606" t="s">
        <v>204</v>
      </c>
      <c r="E343" s="607" t="s">
        <v>205</v>
      </c>
      <c r="F343" s="605"/>
    </row>
    <row r="344" spans="1:6" ht="17.100000000000001" customHeight="1">
      <c r="A344" s="575"/>
      <c r="B344" s="1265" t="s">
        <v>327</v>
      </c>
      <c r="C344" s="1266"/>
      <c r="D344" s="576"/>
      <c r="E344" s="577" t="s">
        <v>129</v>
      </c>
      <c r="F344" s="206">
        <f>F345</f>
        <v>74000</v>
      </c>
    </row>
    <row r="345" spans="1:6" ht="17.100000000000001" customHeight="1">
      <c r="A345" s="575"/>
      <c r="B345" s="1267"/>
      <c r="C345" s="1268"/>
      <c r="D345" s="1271" t="s">
        <v>146</v>
      </c>
      <c r="E345" s="1272"/>
      <c r="F345" s="207">
        <f>F346</f>
        <v>74000</v>
      </c>
    </row>
    <row r="346" spans="1:6" ht="17.100000000000001" customHeight="1">
      <c r="A346" s="575"/>
      <c r="B346" s="1269"/>
      <c r="C346" s="1270"/>
      <c r="D346" s="1273" t="s">
        <v>147</v>
      </c>
      <c r="E346" s="1283"/>
      <c r="F346" s="210">
        <f>F347</f>
        <v>74000</v>
      </c>
    </row>
    <row r="347" spans="1:6" ht="17.100000000000001" customHeight="1">
      <c r="A347" s="575"/>
      <c r="B347" s="1269"/>
      <c r="C347" s="1270"/>
      <c r="D347" s="1279" t="s">
        <v>159</v>
      </c>
      <c r="E347" s="1280"/>
      <c r="F347" s="210">
        <f>F348</f>
        <v>74000</v>
      </c>
    </row>
    <row r="348" spans="1:6" ht="17.100000000000001" customHeight="1">
      <c r="A348" s="575"/>
      <c r="B348" s="1297"/>
      <c r="C348" s="1298"/>
      <c r="D348" s="578" t="s">
        <v>170</v>
      </c>
      <c r="E348" s="579" t="s">
        <v>171</v>
      </c>
      <c r="F348" s="210">
        <v>74000</v>
      </c>
    </row>
    <row r="349" spans="1:6" ht="17.100000000000001" customHeight="1">
      <c r="A349" s="572" t="s">
        <v>328</v>
      </c>
      <c r="B349" s="1263"/>
      <c r="C349" s="1264"/>
      <c r="D349" s="573"/>
      <c r="E349" s="574" t="s">
        <v>329</v>
      </c>
      <c r="F349" s="205">
        <f>F350+F358</f>
        <v>790000</v>
      </c>
    </row>
    <row r="350" spans="1:6" ht="17.100000000000001" customHeight="1">
      <c r="A350" s="575"/>
      <c r="B350" s="1265" t="s">
        <v>330</v>
      </c>
      <c r="C350" s="1266"/>
      <c r="D350" s="576"/>
      <c r="E350" s="577" t="s">
        <v>331</v>
      </c>
      <c r="F350" s="206">
        <f>F351</f>
        <v>750000</v>
      </c>
    </row>
    <row r="351" spans="1:6" ht="17.100000000000001" customHeight="1">
      <c r="A351" s="575"/>
      <c r="B351" s="1338"/>
      <c r="C351" s="1339"/>
      <c r="D351" s="1271" t="s">
        <v>146</v>
      </c>
      <c r="E351" s="1272"/>
      <c r="F351" s="207">
        <f>F352+F356</f>
        <v>750000</v>
      </c>
    </row>
    <row r="352" spans="1:6" ht="17.100000000000001" customHeight="1">
      <c r="A352" s="575"/>
      <c r="B352" s="580"/>
      <c r="C352" s="550"/>
      <c r="D352" s="1273" t="s">
        <v>147</v>
      </c>
      <c r="E352" s="1283"/>
      <c r="F352" s="210">
        <f>F353</f>
        <v>650000</v>
      </c>
    </row>
    <row r="353" spans="1:6" ht="17.100000000000001" customHeight="1">
      <c r="A353" s="575"/>
      <c r="B353" s="580"/>
      <c r="C353" s="550"/>
      <c r="D353" s="1279" t="s">
        <v>159</v>
      </c>
      <c r="E353" s="1280"/>
      <c r="F353" s="210">
        <f>F354</f>
        <v>650000</v>
      </c>
    </row>
    <row r="354" spans="1:6" ht="17.100000000000001" customHeight="1">
      <c r="A354" s="575"/>
      <c r="B354" s="580"/>
      <c r="C354" s="550"/>
      <c r="D354" s="578" t="s">
        <v>178</v>
      </c>
      <c r="E354" s="579" t="s">
        <v>179</v>
      </c>
      <c r="F354" s="210">
        <v>650000</v>
      </c>
    </row>
    <row r="355" spans="1:6" ht="17.100000000000001" customHeight="1">
      <c r="A355" s="575"/>
      <c r="B355" s="580"/>
      <c r="C355" s="550"/>
      <c r="D355" s="587"/>
      <c r="E355" s="582"/>
      <c r="F355" s="210"/>
    </row>
    <row r="356" spans="1:6" ht="17.100000000000001" customHeight="1">
      <c r="A356" s="575"/>
      <c r="B356" s="580"/>
      <c r="C356" s="550"/>
      <c r="D356" s="1285" t="s">
        <v>209</v>
      </c>
      <c r="E356" s="1286"/>
      <c r="F356" s="210">
        <f>F357</f>
        <v>100000</v>
      </c>
    </row>
    <row r="357" spans="1:6" ht="38.25">
      <c r="A357" s="575"/>
      <c r="B357" s="580"/>
      <c r="C357" s="550"/>
      <c r="D357" s="578" t="s">
        <v>261</v>
      </c>
      <c r="E357" s="579" t="s">
        <v>332</v>
      </c>
      <c r="F357" s="210">
        <v>100000</v>
      </c>
    </row>
    <row r="358" spans="1:6" ht="17.100000000000001" customHeight="1">
      <c r="A358" s="575"/>
      <c r="B358" s="1265" t="s">
        <v>333</v>
      </c>
      <c r="C358" s="1266"/>
      <c r="D358" s="576"/>
      <c r="E358" s="577" t="s">
        <v>129</v>
      </c>
      <c r="F358" s="206">
        <f>F377+F359</f>
        <v>40000</v>
      </c>
    </row>
    <row r="359" spans="1:6" ht="17.100000000000001" customHeight="1">
      <c r="A359" s="575"/>
      <c r="B359" s="1342"/>
      <c r="C359" s="1300"/>
      <c r="D359" s="1347" t="s">
        <v>146</v>
      </c>
      <c r="E359" s="1348"/>
      <c r="F359" s="218">
        <f>F360</f>
        <v>40000</v>
      </c>
    </row>
    <row r="360" spans="1:6" ht="16.5" customHeight="1">
      <c r="A360" s="575"/>
      <c r="B360" s="1301"/>
      <c r="C360" s="1302"/>
      <c r="D360" s="1349" t="s">
        <v>147</v>
      </c>
      <c r="E360" s="1348"/>
      <c r="F360" s="219">
        <f>F361</f>
        <v>40000</v>
      </c>
    </row>
    <row r="361" spans="1:6" ht="16.5" customHeight="1">
      <c r="A361" s="575"/>
      <c r="B361" s="1301"/>
      <c r="C361" s="1302"/>
      <c r="D361" s="1293" t="s">
        <v>159</v>
      </c>
      <c r="E361" s="1280"/>
      <c r="F361" s="219">
        <f>F362</f>
        <v>40000</v>
      </c>
    </row>
    <row r="362" spans="1:6" ht="16.5" customHeight="1">
      <c r="A362" s="575"/>
      <c r="B362" s="1301"/>
      <c r="C362" s="1343"/>
      <c r="D362" s="211" t="s">
        <v>170</v>
      </c>
      <c r="E362" s="608" t="s">
        <v>171</v>
      </c>
      <c r="F362" s="219">
        <v>40000</v>
      </c>
    </row>
    <row r="363" spans="1:6" ht="17.100000000000001" hidden="1" customHeight="1">
      <c r="A363" s="575"/>
      <c r="B363" s="1301"/>
      <c r="C363" s="1302"/>
      <c r="D363" s="1350" t="s">
        <v>334</v>
      </c>
      <c r="E363" s="1348"/>
      <c r="F363" s="220">
        <f>SUM(F364:F375)</f>
        <v>0</v>
      </c>
    </row>
    <row r="364" spans="1:6" ht="17.100000000000001" hidden="1" customHeight="1">
      <c r="A364" s="575"/>
      <c r="B364" s="1301"/>
      <c r="C364" s="1302"/>
      <c r="D364" s="609" t="s">
        <v>335</v>
      </c>
      <c r="E364" s="610" t="s">
        <v>150</v>
      </c>
      <c r="F364" s="221"/>
    </row>
    <row r="365" spans="1:6" ht="17.100000000000001" hidden="1" customHeight="1">
      <c r="A365" s="575"/>
      <c r="B365" s="1301"/>
      <c r="C365" s="1302"/>
      <c r="D365" s="609" t="s">
        <v>215</v>
      </c>
      <c r="E365" s="610" t="s">
        <v>150</v>
      </c>
      <c r="F365" s="219"/>
    </row>
    <row r="366" spans="1:6" ht="17.100000000000001" hidden="1" customHeight="1">
      <c r="A366" s="575"/>
      <c r="B366" s="1301"/>
      <c r="C366" s="1302"/>
      <c r="D366" s="609" t="s">
        <v>336</v>
      </c>
      <c r="E366" s="610" t="s">
        <v>154</v>
      </c>
      <c r="F366" s="219"/>
    </row>
    <row r="367" spans="1:6" ht="17.100000000000001" hidden="1" customHeight="1">
      <c r="A367" s="575"/>
      <c r="B367" s="1301"/>
      <c r="C367" s="1302"/>
      <c r="D367" s="609" t="s">
        <v>219</v>
      </c>
      <c r="E367" s="610" t="s">
        <v>154</v>
      </c>
      <c r="F367" s="219"/>
    </row>
    <row r="368" spans="1:6" ht="17.100000000000001" hidden="1" customHeight="1">
      <c r="A368" s="575"/>
      <c r="B368" s="1301"/>
      <c r="C368" s="1302"/>
      <c r="D368" s="609" t="s">
        <v>337</v>
      </c>
      <c r="E368" s="610" t="s">
        <v>156</v>
      </c>
      <c r="F368" s="219"/>
    </row>
    <row r="369" spans="1:7" ht="17.100000000000001" hidden="1" customHeight="1">
      <c r="A369" s="575"/>
      <c r="B369" s="1301"/>
      <c r="C369" s="1302"/>
      <c r="D369" s="609" t="s">
        <v>221</v>
      </c>
      <c r="E369" s="610" t="s">
        <v>156</v>
      </c>
      <c r="F369" s="219"/>
    </row>
    <row r="370" spans="1:7" ht="17.100000000000001" hidden="1" customHeight="1">
      <c r="A370" s="575"/>
      <c r="B370" s="1301"/>
      <c r="C370" s="1302"/>
      <c r="D370" s="609" t="s">
        <v>338</v>
      </c>
      <c r="E370" s="610" t="s">
        <v>171</v>
      </c>
      <c r="F370" s="219"/>
    </row>
    <row r="371" spans="1:7" ht="17.100000000000001" hidden="1" customHeight="1">
      <c r="A371" s="575"/>
      <c r="B371" s="1301"/>
      <c r="C371" s="1302"/>
      <c r="D371" s="609" t="s">
        <v>232</v>
      </c>
      <c r="E371" s="610" t="s">
        <v>171</v>
      </c>
      <c r="F371" s="219"/>
    </row>
    <row r="372" spans="1:7" ht="17.100000000000001" hidden="1" customHeight="1">
      <c r="A372" s="575"/>
      <c r="B372" s="1301"/>
      <c r="C372" s="1302"/>
      <c r="D372" s="609" t="s">
        <v>339</v>
      </c>
      <c r="E372" s="610" t="s">
        <v>177</v>
      </c>
      <c r="F372" s="219"/>
    </row>
    <row r="373" spans="1:7" ht="17.100000000000001" hidden="1" customHeight="1">
      <c r="A373" s="575"/>
      <c r="B373" s="1301"/>
      <c r="C373" s="1302"/>
      <c r="D373" s="609" t="s">
        <v>234</v>
      </c>
      <c r="E373" s="610" t="s">
        <v>177</v>
      </c>
      <c r="F373" s="219"/>
    </row>
    <row r="374" spans="1:7" ht="17.100000000000001" hidden="1" customHeight="1">
      <c r="A374" s="575"/>
      <c r="B374" s="1301"/>
      <c r="C374" s="1302"/>
      <c r="D374" s="609" t="s">
        <v>340</v>
      </c>
      <c r="E374" s="610" t="s">
        <v>315</v>
      </c>
      <c r="F374" s="219"/>
    </row>
    <row r="375" spans="1:7" ht="17.100000000000001" hidden="1" customHeight="1">
      <c r="A375" s="575"/>
      <c r="B375" s="1301"/>
      <c r="C375" s="1302"/>
      <c r="D375" s="609" t="s">
        <v>341</v>
      </c>
      <c r="E375" s="610" t="s">
        <v>315</v>
      </c>
      <c r="F375" s="219"/>
    </row>
    <row r="376" spans="1:7" ht="17.100000000000001" hidden="1" customHeight="1">
      <c r="A376" s="575"/>
      <c r="B376" s="1301"/>
      <c r="C376" s="1302"/>
      <c r="D376" s="1351"/>
      <c r="E376" s="1352"/>
      <c r="F376" s="1292"/>
    </row>
    <row r="377" spans="1:7" ht="17.100000000000001" hidden="1" customHeight="1">
      <c r="A377" s="575"/>
      <c r="B377" s="1301"/>
      <c r="C377" s="1302"/>
      <c r="D377" s="1271" t="s">
        <v>202</v>
      </c>
      <c r="E377" s="1272"/>
      <c r="F377" s="207">
        <f>F378</f>
        <v>0</v>
      </c>
    </row>
    <row r="378" spans="1:7" ht="17.100000000000001" hidden="1" customHeight="1">
      <c r="A378" s="575"/>
      <c r="B378" s="1301"/>
      <c r="C378" s="1302"/>
      <c r="D378" s="1285" t="s">
        <v>272</v>
      </c>
      <c r="E378" s="1286"/>
      <c r="F378" s="210">
        <f>F380+F379+F381+F382+F383+F384</f>
        <v>0</v>
      </c>
    </row>
    <row r="379" spans="1:7" ht="17.100000000000001" hidden="1" customHeight="1">
      <c r="A379" s="575"/>
      <c r="B379" s="1301"/>
      <c r="C379" s="1302"/>
      <c r="D379" s="578" t="s">
        <v>204</v>
      </c>
      <c r="E379" s="579" t="s">
        <v>205</v>
      </c>
      <c r="F379" s="210"/>
    </row>
    <row r="380" spans="1:7" ht="17.100000000000001" hidden="1" customHeight="1">
      <c r="A380" s="575"/>
      <c r="B380" s="1301"/>
      <c r="C380" s="1302"/>
      <c r="D380" s="578" t="s">
        <v>316</v>
      </c>
      <c r="E380" s="579" t="s">
        <v>205</v>
      </c>
      <c r="F380" s="210"/>
      <c r="G380" s="213"/>
    </row>
    <row r="381" spans="1:7" ht="17.100000000000001" hidden="1" customHeight="1">
      <c r="A381" s="575"/>
      <c r="B381" s="1289"/>
      <c r="C381" s="1344"/>
      <c r="D381" s="578" t="s">
        <v>303</v>
      </c>
      <c r="E381" s="579" t="s">
        <v>246</v>
      </c>
      <c r="F381" s="210"/>
      <c r="G381" s="213"/>
    </row>
    <row r="382" spans="1:7" ht="17.100000000000001" hidden="1" customHeight="1">
      <c r="A382" s="575"/>
      <c r="B382" s="1289"/>
      <c r="C382" s="1344"/>
      <c r="D382" s="578" t="s">
        <v>274</v>
      </c>
      <c r="E382" s="579" t="s">
        <v>246</v>
      </c>
      <c r="F382" s="210"/>
      <c r="G382" s="213"/>
    </row>
    <row r="383" spans="1:7" ht="42.75" hidden="1" customHeight="1">
      <c r="A383" s="575"/>
      <c r="B383" s="1289"/>
      <c r="C383" s="1344"/>
      <c r="D383" s="578" t="s">
        <v>342</v>
      </c>
      <c r="E383" s="579" t="s">
        <v>280</v>
      </c>
      <c r="F383" s="210"/>
      <c r="G383" s="213"/>
    </row>
    <row r="384" spans="1:7" ht="38.25" hidden="1" customHeight="1">
      <c r="A384" s="575"/>
      <c r="B384" s="1289"/>
      <c r="C384" s="1344"/>
      <c r="D384" s="578" t="s">
        <v>284</v>
      </c>
      <c r="E384" s="579" t="s">
        <v>280</v>
      </c>
      <c r="F384" s="210"/>
      <c r="G384" s="213"/>
    </row>
    <row r="385" spans="1:7" ht="18" hidden="1" customHeight="1">
      <c r="A385" s="575"/>
      <c r="B385" s="1289"/>
      <c r="C385" s="1344"/>
      <c r="D385" s="1277"/>
      <c r="E385" s="1291"/>
      <c r="F385" s="1292"/>
      <c r="G385" s="213"/>
    </row>
    <row r="386" spans="1:7" ht="18" hidden="1" customHeight="1">
      <c r="A386" s="575"/>
      <c r="B386" s="1289"/>
      <c r="C386" s="1344"/>
      <c r="D386" s="1279" t="s">
        <v>206</v>
      </c>
      <c r="E386" s="1311"/>
      <c r="F386" s="210">
        <f>F387+F388+F389+F390+F391+F392</f>
        <v>0</v>
      </c>
      <c r="G386" s="213"/>
    </row>
    <row r="387" spans="1:7" ht="15.75" hidden="1" customHeight="1">
      <c r="A387" s="575"/>
      <c r="B387" s="1289"/>
      <c r="C387" s="1344"/>
      <c r="D387" s="578" t="s">
        <v>204</v>
      </c>
      <c r="E387" s="579" t="s">
        <v>205</v>
      </c>
      <c r="F387" s="210"/>
      <c r="G387" s="213"/>
    </row>
    <row r="388" spans="1:7" ht="15.75" hidden="1" customHeight="1">
      <c r="A388" s="575"/>
      <c r="B388" s="1289"/>
      <c r="C388" s="1344"/>
      <c r="D388" s="578" t="s">
        <v>316</v>
      </c>
      <c r="E388" s="579" t="s">
        <v>205</v>
      </c>
      <c r="F388" s="210"/>
      <c r="G388" s="213"/>
    </row>
    <row r="389" spans="1:7" ht="15.75" hidden="1" customHeight="1">
      <c r="A389" s="575"/>
      <c r="B389" s="1289"/>
      <c r="C389" s="1344"/>
      <c r="D389" s="578" t="s">
        <v>303</v>
      </c>
      <c r="E389" s="579" t="s">
        <v>246</v>
      </c>
      <c r="F389" s="210"/>
      <c r="G389" s="213"/>
    </row>
    <row r="390" spans="1:7" ht="15.75" hidden="1" customHeight="1">
      <c r="A390" s="575"/>
      <c r="B390" s="1289"/>
      <c r="C390" s="1344"/>
      <c r="D390" s="578" t="s">
        <v>274</v>
      </c>
      <c r="E390" s="579" t="s">
        <v>246</v>
      </c>
      <c r="F390" s="210"/>
      <c r="G390" s="213"/>
    </row>
    <row r="391" spans="1:7" ht="41.25" hidden="1" customHeight="1">
      <c r="A391" s="575"/>
      <c r="B391" s="1289"/>
      <c r="C391" s="1344"/>
      <c r="D391" s="578" t="s">
        <v>342</v>
      </c>
      <c r="E391" s="579" t="s">
        <v>280</v>
      </c>
      <c r="F391" s="210"/>
      <c r="G391" s="213"/>
    </row>
    <row r="392" spans="1:7" ht="45" hidden="1" customHeight="1">
      <c r="A392" s="575"/>
      <c r="B392" s="1345"/>
      <c r="C392" s="1346"/>
      <c r="D392" s="578" t="s">
        <v>284</v>
      </c>
      <c r="E392" s="579" t="s">
        <v>280</v>
      </c>
      <c r="F392" s="210"/>
      <c r="G392" s="213"/>
    </row>
    <row r="393" spans="1:7" ht="17.100000000000001" customHeight="1">
      <c r="A393" s="572" t="s">
        <v>343</v>
      </c>
      <c r="B393" s="1263"/>
      <c r="C393" s="1264"/>
      <c r="D393" s="573"/>
      <c r="E393" s="574" t="s">
        <v>344</v>
      </c>
      <c r="F393" s="205">
        <f>F394</f>
        <v>860000</v>
      </c>
      <c r="G393" s="213"/>
    </row>
    <row r="394" spans="1:7" ht="17.100000000000001" customHeight="1">
      <c r="A394" s="575"/>
      <c r="B394" s="1265" t="s">
        <v>345</v>
      </c>
      <c r="C394" s="1266"/>
      <c r="D394" s="576"/>
      <c r="E394" s="577" t="s">
        <v>346</v>
      </c>
      <c r="F394" s="206">
        <f>F395</f>
        <v>860000</v>
      </c>
    </row>
    <row r="395" spans="1:7" ht="17.100000000000001" customHeight="1">
      <c r="A395" s="575"/>
      <c r="B395" s="594"/>
      <c r="C395" s="549"/>
      <c r="D395" s="1271" t="s">
        <v>146</v>
      </c>
      <c r="E395" s="1272"/>
      <c r="F395" s="207">
        <f>F396</f>
        <v>860000</v>
      </c>
    </row>
    <row r="396" spans="1:7" ht="17.100000000000001" customHeight="1">
      <c r="A396" s="575"/>
      <c r="B396" s="594"/>
      <c r="C396" s="549"/>
      <c r="D396" s="1273" t="s">
        <v>147</v>
      </c>
      <c r="E396" s="1283"/>
      <c r="F396" s="210">
        <f>F397</f>
        <v>860000</v>
      </c>
    </row>
    <row r="397" spans="1:7" ht="17.100000000000001" customHeight="1">
      <c r="A397" s="575"/>
      <c r="B397" s="594"/>
      <c r="C397" s="549"/>
      <c r="D397" s="1279" t="s">
        <v>159</v>
      </c>
      <c r="E397" s="1280"/>
      <c r="F397" s="210">
        <f>SUM(F398:F407)</f>
        <v>860000</v>
      </c>
    </row>
    <row r="398" spans="1:7" ht="17.100000000000001" customHeight="1">
      <c r="A398" s="575"/>
      <c r="B398" s="1277"/>
      <c r="C398" s="1278"/>
      <c r="D398" s="578" t="s">
        <v>162</v>
      </c>
      <c r="E398" s="579" t="s">
        <v>163</v>
      </c>
      <c r="F398" s="210">
        <v>10000</v>
      </c>
    </row>
    <row r="399" spans="1:7" ht="17.100000000000001" customHeight="1">
      <c r="A399" s="575"/>
      <c r="B399" s="1277"/>
      <c r="C399" s="1278"/>
      <c r="D399" s="578" t="s">
        <v>164</v>
      </c>
      <c r="E399" s="579" t="s">
        <v>165</v>
      </c>
      <c r="F399" s="210">
        <f>10000</f>
        <v>10000</v>
      </c>
    </row>
    <row r="400" spans="1:7" ht="17.100000000000001" customHeight="1">
      <c r="A400" s="575"/>
      <c r="B400" s="1277"/>
      <c r="C400" s="1278"/>
      <c r="D400" s="578" t="s">
        <v>166</v>
      </c>
      <c r="E400" s="579" t="s">
        <v>167</v>
      </c>
      <c r="F400" s="210">
        <v>20000</v>
      </c>
    </row>
    <row r="401" spans="1:6" ht="17.100000000000001" customHeight="1">
      <c r="A401" s="575"/>
      <c r="B401" s="1277"/>
      <c r="C401" s="1278"/>
      <c r="D401" s="578" t="s">
        <v>170</v>
      </c>
      <c r="E401" s="579" t="s">
        <v>171</v>
      </c>
      <c r="F401" s="210">
        <v>360000</v>
      </c>
    </row>
    <row r="402" spans="1:6" ht="17.100000000000001" customHeight="1">
      <c r="A402" s="575"/>
      <c r="B402" s="1277"/>
      <c r="C402" s="1278"/>
      <c r="D402" s="578" t="s">
        <v>178</v>
      </c>
      <c r="E402" s="579" t="s">
        <v>179</v>
      </c>
      <c r="F402" s="210">
        <f>10000</f>
        <v>10000</v>
      </c>
    </row>
    <row r="403" spans="1:6" ht="17.100000000000001" customHeight="1">
      <c r="A403" s="575"/>
      <c r="B403" s="1277"/>
      <c r="C403" s="1278"/>
      <c r="D403" s="578" t="s">
        <v>182</v>
      </c>
      <c r="E403" s="579" t="s">
        <v>183</v>
      </c>
      <c r="F403" s="210">
        <f>100000</f>
        <v>100000</v>
      </c>
    </row>
    <row r="404" spans="1:6" ht="17.100000000000001" customHeight="1">
      <c r="A404" s="575"/>
      <c r="B404" s="1277"/>
      <c r="C404" s="1278"/>
      <c r="D404" s="578" t="s">
        <v>186</v>
      </c>
      <c r="E404" s="579" t="s">
        <v>187</v>
      </c>
      <c r="F404" s="210">
        <f>270000</f>
        <v>270000</v>
      </c>
    </row>
    <row r="405" spans="1:6" ht="17.100000000000001" customHeight="1">
      <c r="A405" s="575"/>
      <c r="B405" s="580"/>
      <c r="C405" s="550"/>
      <c r="D405" s="578" t="s">
        <v>259</v>
      </c>
      <c r="E405" s="579" t="s">
        <v>260</v>
      </c>
      <c r="F405" s="210">
        <f>25000</f>
        <v>25000</v>
      </c>
    </row>
    <row r="406" spans="1:6" ht="28.5" customHeight="1">
      <c r="A406" s="575"/>
      <c r="B406" s="580"/>
      <c r="C406" s="550"/>
      <c r="D406" s="578" t="s">
        <v>347</v>
      </c>
      <c r="E406" s="579" t="s">
        <v>348</v>
      </c>
      <c r="F406" s="210">
        <f>25000</f>
        <v>25000</v>
      </c>
    </row>
    <row r="407" spans="1:6" ht="17.100000000000001" customHeight="1">
      <c r="A407" s="575"/>
      <c r="B407" s="1277"/>
      <c r="C407" s="1278"/>
      <c r="D407" s="578" t="s">
        <v>195</v>
      </c>
      <c r="E407" s="579" t="s">
        <v>196</v>
      </c>
      <c r="F407" s="210">
        <f>30000</f>
        <v>30000</v>
      </c>
    </row>
    <row r="408" spans="1:6" ht="17.100000000000001" customHeight="1">
      <c r="A408" s="572" t="s">
        <v>349</v>
      </c>
      <c r="B408" s="1263"/>
      <c r="C408" s="1264"/>
      <c r="D408" s="573"/>
      <c r="E408" s="574" t="s">
        <v>350</v>
      </c>
      <c r="F408" s="205">
        <f>F409+F438+F443+F469</f>
        <v>5956706</v>
      </c>
    </row>
    <row r="409" spans="1:6" ht="17.100000000000001" customHeight="1">
      <c r="A409" s="575"/>
      <c r="B409" s="1265" t="s">
        <v>351</v>
      </c>
      <c r="C409" s="1266"/>
      <c r="D409" s="576"/>
      <c r="E409" s="577" t="s">
        <v>352</v>
      </c>
      <c r="F409" s="206">
        <f>F410</f>
        <v>4117700</v>
      </c>
    </row>
    <row r="410" spans="1:6" ht="17.100000000000001" customHeight="1">
      <c r="A410" s="575"/>
      <c r="B410" s="580"/>
      <c r="C410" s="550"/>
      <c r="D410" s="1271" t="s">
        <v>146</v>
      </c>
      <c r="E410" s="1272"/>
      <c r="F410" s="207">
        <f>F411+F436</f>
        <v>4117700</v>
      </c>
    </row>
    <row r="411" spans="1:6" ht="17.100000000000001" customHeight="1">
      <c r="A411" s="575"/>
      <c r="B411" s="580"/>
      <c r="C411" s="550"/>
      <c r="D411" s="1273" t="s">
        <v>147</v>
      </c>
      <c r="E411" s="1283"/>
      <c r="F411" s="210">
        <f>F412+F419</f>
        <v>4108700</v>
      </c>
    </row>
    <row r="412" spans="1:6" ht="17.100000000000001" customHeight="1">
      <c r="A412" s="575"/>
      <c r="B412" s="580"/>
      <c r="C412" s="550"/>
      <c r="D412" s="1275" t="s">
        <v>148</v>
      </c>
      <c r="E412" s="1284"/>
      <c r="F412" s="210">
        <f>SUM(F413:F417)</f>
        <v>3591180</v>
      </c>
    </row>
    <row r="413" spans="1:6" ht="17.100000000000001" customHeight="1">
      <c r="A413" s="575"/>
      <c r="B413" s="1277"/>
      <c r="C413" s="1278"/>
      <c r="D413" s="578" t="s">
        <v>149</v>
      </c>
      <c r="E413" s="579" t="s">
        <v>150</v>
      </c>
      <c r="F413" s="210">
        <v>2827000</v>
      </c>
    </row>
    <row r="414" spans="1:6" ht="17.100000000000001" customHeight="1">
      <c r="A414" s="575"/>
      <c r="B414" s="1277"/>
      <c r="C414" s="1278"/>
      <c r="D414" s="578" t="s">
        <v>151</v>
      </c>
      <c r="E414" s="579" t="s">
        <v>152</v>
      </c>
      <c r="F414" s="210">
        <v>212450</v>
      </c>
    </row>
    <row r="415" spans="1:6" ht="17.100000000000001" customHeight="1">
      <c r="A415" s="575"/>
      <c r="B415" s="1277"/>
      <c r="C415" s="1278"/>
      <c r="D415" s="578" t="s">
        <v>153</v>
      </c>
      <c r="E415" s="579" t="s">
        <v>154</v>
      </c>
      <c r="F415" s="210">
        <v>496230</v>
      </c>
    </row>
    <row r="416" spans="1:6" ht="17.100000000000001" customHeight="1">
      <c r="A416" s="575"/>
      <c r="B416" s="1277"/>
      <c r="C416" s="1278"/>
      <c r="D416" s="578" t="s">
        <v>155</v>
      </c>
      <c r="E416" s="579" t="s">
        <v>156</v>
      </c>
      <c r="F416" s="210">
        <v>49500</v>
      </c>
    </row>
    <row r="417" spans="1:6" ht="17.100000000000001" customHeight="1">
      <c r="A417" s="575"/>
      <c r="B417" s="1277"/>
      <c r="C417" s="1278"/>
      <c r="D417" s="578" t="s">
        <v>157</v>
      </c>
      <c r="E417" s="579" t="s">
        <v>158</v>
      </c>
      <c r="F417" s="210">
        <v>6000</v>
      </c>
    </row>
    <row r="418" spans="1:6" ht="17.100000000000001" customHeight="1">
      <c r="A418" s="575"/>
      <c r="B418" s="580"/>
      <c r="C418" s="550"/>
      <c r="D418" s="1277"/>
      <c r="E418" s="1281"/>
      <c r="F418" s="1282"/>
    </row>
    <row r="419" spans="1:6" ht="17.100000000000001" customHeight="1">
      <c r="A419" s="575"/>
      <c r="B419" s="580"/>
      <c r="C419" s="550"/>
      <c r="D419" s="1279" t="s">
        <v>159</v>
      </c>
      <c r="E419" s="1280"/>
      <c r="F419" s="210">
        <f>SUM(F420:F434)</f>
        <v>517520</v>
      </c>
    </row>
    <row r="420" spans="1:6" ht="17.100000000000001" customHeight="1">
      <c r="A420" s="575"/>
      <c r="B420" s="1277"/>
      <c r="C420" s="1278"/>
      <c r="D420" s="578" t="s">
        <v>162</v>
      </c>
      <c r="E420" s="579" t="s">
        <v>163</v>
      </c>
      <c r="F420" s="210">
        <v>80000</v>
      </c>
    </row>
    <row r="421" spans="1:6" ht="17.100000000000001" customHeight="1">
      <c r="A421" s="575"/>
      <c r="B421" s="1277"/>
      <c r="C421" s="1278"/>
      <c r="D421" s="578" t="s">
        <v>353</v>
      </c>
      <c r="E421" s="579" t="s">
        <v>354</v>
      </c>
      <c r="F421" s="210">
        <v>1500</v>
      </c>
    </row>
    <row r="422" spans="1:6" ht="17.100000000000001" customHeight="1">
      <c r="A422" s="575"/>
      <c r="B422" s="1277"/>
      <c r="C422" s="1278"/>
      <c r="D422" s="578" t="s">
        <v>164</v>
      </c>
      <c r="E422" s="579" t="s">
        <v>165</v>
      </c>
      <c r="F422" s="210">
        <v>110000</v>
      </c>
    </row>
    <row r="423" spans="1:6" ht="17.100000000000001" customHeight="1">
      <c r="A423" s="575"/>
      <c r="B423" s="1277"/>
      <c r="C423" s="1278"/>
      <c r="D423" s="578" t="s">
        <v>166</v>
      </c>
      <c r="E423" s="579" t="s">
        <v>167</v>
      </c>
      <c r="F423" s="210">
        <f>15000</f>
        <v>15000</v>
      </c>
    </row>
    <row r="424" spans="1:6" ht="17.100000000000001" customHeight="1">
      <c r="A424" s="575"/>
      <c r="B424" s="1277"/>
      <c r="C424" s="1278"/>
      <c r="D424" s="578" t="s">
        <v>168</v>
      </c>
      <c r="E424" s="579" t="s">
        <v>169</v>
      </c>
      <c r="F424" s="210">
        <v>3600</v>
      </c>
    </row>
    <row r="425" spans="1:6" ht="17.100000000000001" customHeight="1">
      <c r="A425" s="575"/>
      <c r="B425" s="1277"/>
      <c r="C425" s="1278"/>
      <c r="D425" s="578" t="s">
        <v>170</v>
      </c>
      <c r="E425" s="579" t="s">
        <v>171</v>
      </c>
      <c r="F425" s="210">
        <v>101500</v>
      </c>
    </row>
    <row r="426" spans="1:6" ht="16.5" customHeight="1">
      <c r="A426" s="575"/>
      <c r="B426" s="1277"/>
      <c r="C426" s="1278"/>
      <c r="D426" s="578" t="s">
        <v>172</v>
      </c>
      <c r="E426" s="579" t="s">
        <v>173</v>
      </c>
      <c r="F426" s="210">
        <v>10000</v>
      </c>
    </row>
    <row r="427" spans="1:6" ht="16.5" customHeight="1">
      <c r="A427" s="575"/>
      <c r="B427" s="1277"/>
      <c r="C427" s="1278"/>
      <c r="D427" s="578" t="s">
        <v>174</v>
      </c>
      <c r="E427" s="579" t="s">
        <v>175</v>
      </c>
      <c r="F427" s="210">
        <v>80000</v>
      </c>
    </row>
    <row r="428" spans="1:6" ht="17.100000000000001" customHeight="1">
      <c r="A428" s="575"/>
      <c r="B428" s="1277"/>
      <c r="C428" s="1278"/>
      <c r="D428" s="578" t="s">
        <v>176</v>
      </c>
      <c r="E428" s="579" t="s">
        <v>177</v>
      </c>
      <c r="F428" s="210">
        <f>7000</f>
        <v>7000</v>
      </c>
    </row>
    <row r="429" spans="1:6" ht="17.100000000000001" hidden="1" customHeight="1">
      <c r="A429" s="575"/>
      <c r="B429" s="1277"/>
      <c r="C429" s="1278"/>
      <c r="D429" s="578" t="s">
        <v>314</v>
      </c>
      <c r="E429" s="579" t="s">
        <v>315</v>
      </c>
      <c r="F429" s="210"/>
    </row>
    <row r="430" spans="1:6" ht="17.100000000000001" customHeight="1">
      <c r="A430" s="575"/>
      <c r="B430" s="1277"/>
      <c r="C430" s="1278"/>
      <c r="D430" s="578" t="s">
        <v>178</v>
      </c>
      <c r="E430" s="579" t="s">
        <v>179</v>
      </c>
      <c r="F430" s="210">
        <v>5500</v>
      </c>
    </row>
    <row r="431" spans="1:6" ht="17.100000000000001" customHeight="1">
      <c r="A431" s="575"/>
      <c r="B431" s="1277"/>
      <c r="C431" s="1278"/>
      <c r="D431" s="578" t="s">
        <v>180</v>
      </c>
      <c r="E431" s="579" t="s">
        <v>181</v>
      </c>
      <c r="F431" s="210">
        <v>73880</v>
      </c>
    </row>
    <row r="432" spans="1:6" ht="17.100000000000001" customHeight="1">
      <c r="A432" s="575"/>
      <c r="B432" s="1277"/>
      <c r="C432" s="1278"/>
      <c r="D432" s="578" t="s">
        <v>182</v>
      </c>
      <c r="E432" s="579" t="s">
        <v>183</v>
      </c>
      <c r="F432" s="210">
        <f>7500</f>
        <v>7500</v>
      </c>
    </row>
    <row r="433" spans="1:6" ht="17.100000000000001" customHeight="1">
      <c r="A433" s="575"/>
      <c r="B433" s="1277"/>
      <c r="C433" s="1278"/>
      <c r="D433" s="578" t="s">
        <v>186</v>
      </c>
      <c r="E433" s="579" t="s">
        <v>187</v>
      </c>
      <c r="F433" s="210">
        <f>11040</f>
        <v>11040</v>
      </c>
    </row>
    <row r="434" spans="1:6" ht="17.100000000000001" customHeight="1">
      <c r="A434" s="575"/>
      <c r="B434" s="1277"/>
      <c r="C434" s="1278"/>
      <c r="D434" s="578" t="s">
        <v>188</v>
      </c>
      <c r="E434" s="579" t="s">
        <v>189</v>
      </c>
      <c r="F434" s="210">
        <v>11000</v>
      </c>
    </row>
    <row r="435" spans="1:6" ht="17.100000000000001" customHeight="1">
      <c r="A435" s="575"/>
      <c r="B435" s="580"/>
      <c r="C435" s="550"/>
      <c r="D435" s="1277"/>
      <c r="E435" s="1281"/>
      <c r="F435" s="1282"/>
    </row>
    <row r="436" spans="1:6" ht="17.100000000000001" customHeight="1">
      <c r="A436" s="575"/>
      <c r="B436" s="580"/>
      <c r="C436" s="550"/>
      <c r="D436" s="1285" t="s">
        <v>190</v>
      </c>
      <c r="E436" s="1286"/>
      <c r="F436" s="210">
        <f>F437</f>
        <v>9000</v>
      </c>
    </row>
    <row r="437" spans="1:6" ht="17.100000000000001" customHeight="1">
      <c r="A437" s="575"/>
      <c r="B437" s="580"/>
      <c r="C437" s="550"/>
      <c r="D437" s="578" t="s">
        <v>191</v>
      </c>
      <c r="E437" s="579" t="s">
        <v>192</v>
      </c>
      <c r="F437" s="210">
        <v>9000</v>
      </c>
    </row>
    <row r="438" spans="1:6" ht="17.100000000000001" customHeight="1">
      <c r="A438" s="575"/>
      <c r="B438" s="1265" t="s">
        <v>355</v>
      </c>
      <c r="C438" s="1266"/>
      <c r="D438" s="576"/>
      <c r="E438" s="577" t="s">
        <v>356</v>
      </c>
      <c r="F438" s="206">
        <f>F439</f>
        <v>5000</v>
      </c>
    </row>
    <row r="439" spans="1:6" ht="17.100000000000001" customHeight="1">
      <c r="A439" s="575"/>
      <c r="B439" s="1267"/>
      <c r="C439" s="1268"/>
      <c r="D439" s="1271" t="s">
        <v>146</v>
      </c>
      <c r="E439" s="1272"/>
      <c r="F439" s="207">
        <f>F440</f>
        <v>5000</v>
      </c>
    </row>
    <row r="440" spans="1:6" ht="17.100000000000001" customHeight="1">
      <c r="A440" s="575"/>
      <c r="B440" s="1269"/>
      <c r="C440" s="1270"/>
      <c r="D440" s="1273" t="s">
        <v>147</v>
      </c>
      <c r="E440" s="1283"/>
      <c r="F440" s="210">
        <f>F441</f>
        <v>5000</v>
      </c>
    </row>
    <row r="441" spans="1:6" ht="17.100000000000001" customHeight="1">
      <c r="A441" s="575"/>
      <c r="B441" s="1269"/>
      <c r="C441" s="1270"/>
      <c r="D441" s="1279" t="s">
        <v>159</v>
      </c>
      <c r="E441" s="1280"/>
      <c r="F441" s="210">
        <f>F442</f>
        <v>5000</v>
      </c>
    </row>
    <row r="442" spans="1:6" ht="17.100000000000001" customHeight="1">
      <c r="A442" s="575"/>
      <c r="B442" s="1297"/>
      <c r="C442" s="1298"/>
      <c r="D442" s="578" t="s">
        <v>257</v>
      </c>
      <c r="E442" s="579" t="s">
        <v>258</v>
      </c>
      <c r="F442" s="210">
        <f>5000</f>
        <v>5000</v>
      </c>
    </row>
    <row r="443" spans="1:6" ht="17.100000000000001" customHeight="1">
      <c r="A443" s="575"/>
      <c r="B443" s="1265" t="s">
        <v>357</v>
      </c>
      <c r="C443" s="1266"/>
      <c r="D443" s="576"/>
      <c r="E443" s="577" t="s">
        <v>755</v>
      </c>
      <c r="F443" s="206">
        <f>F444</f>
        <v>1713006</v>
      </c>
    </row>
    <row r="444" spans="1:6" ht="17.100000000000001" customHeight="1">
      <c r="A444" s="575"/>
      <c r="B444" s="580"/>
      <c r="C444" s="550"/>
      <c r="D444" s="1271" t="s">
        <v>146</v>
      </c>
      <c r="E444" s="1272"/>
      <c r="F444" s="207">
        <f>F445+F467</f>
        <v>1713006</v>
      </c>
    </row>
    <row r="445" spans="1:6" ht="17.100000000000001" customHeight="1">
      <c r="A445" s="575"/>
      <c r="B445" s="580"/>
      <c r="C445" s="550"/>
      <c r="D445" s="1273" t="s">
        <v>147</v>
      </c>
      <c r="E445" s="1283"/>
      <c r="F445" s="210">
        <f>F446+F453</f>
        <v>1711506</v>
      </c>
    </row>
    <row r="446" spans="1:6" ht="17.100000000000001" customHeight="1">
      <c r="A446" s="575"/>
      <c r="B446" s="580"/>
      <c r="C446" s="550"/>
      <c r="D446" s="1275" t="s">
        <v>148</v>
      </c>
      <c r="E446" s="1284"/>
      <c r="F446" s="210">
        <f>SUM(F447:F451)</f>
        <v>565980</v>
      </c>
    </row>
    <row r="447" spans="1:6" ht="17.100000000000001" customHeight="1">
      <c r="A447" s="575"/>
      <c r="B447" s="1277"/>
      <c r="C447" s="1278"/>
      <c r="D447" s="578" t="s">
        <v>149</v>
      </c>
      <c r="E447" s="579" t="s">
        <v>150</v>
      </c>
      <c r="F447" s="210">
        <v>430957</v>
      </c>
    </row>
    <row r="448" spans="1:6" ht="17.100000000000001" customHeight="1">
      <c r="A448" s="575"/>
      <c r="B448" s="1277"/>
      <c r="C448" s="1278"/>
      <c r="D448" s="578" t="s">
        <v>151</v>
      </c>
      <c r="E448" s="579" t="s">
        <v>152</v>
      </c>
      <c r="F448" s="210">
        <v>31132</v>
      </c>
    </row>
    <row r="449" spans="1:6" ht="17.100000000000001" customHeight="1">
      <c r="A449" s="575"/>
      <c r="B449" s="1277"/>
      <c r="C449" s="1278"/>
      <c r="D449" s="578" t="s">
        <v>153</v>
      </c>
      <c r="E449" s="579" t="s">
        <v>154</v>
      </c>
      <c r="F449" s="210">
        <v>77240</v>
      </c>
    </row>
    <row r="450" spans="1:6" ht="17.100000000000001" customHeight="1">
      <c r="A450" s="575"/>
      <c r="B450" s="1277"/>
      <c r="C450" s="1278"/>
      <c r="D450" s="578" t="s">
        <v>155</v>
      </c>
      <c r="E450" s="579" t="s">
        <v>156</v>
      </c>
      <c r="F450" s="210">
        <v>8651</v>
      </c>
    </row>
    <row r="451" spans="1:6" ht="17.100000000000001" customHeight="1">
      <c r="A451" s="575"/>
      <c r="B451" s="1277"/>
      <c r="C451" s="1278"/>
      <c r="D451" s="578" t="s">
        <v>157</v>
      </c>
      <c r="E451" s="579" t="s">
        <v>158</v>
      </c>
      <c r="F451" s="210">
        <v>18000</v>
      </c>
    </row>
    <row r="452" spans="1:6" ht="17.100000000000001" customHeight="1">
      <c r="A452" s="575"/>
      <c r="B452" s="580"/>
      <c r="C452" s="550"/>
      <c r="D452" s="1277"/>
      <c r="E452" s="1281"/>
      <c r="F452" s="1282"/>
    </row>
    <row r="453" spans="1:6" ht="17.100000000000001" customHeight="1">
      <c r="A453" s="575"/>
      <c r="B453" s="580"/>
      <c r="C453" s="550"/>
      <c r="D453" s="1279" t="s">
        <v>159</v>
      </c>
      <c r="E453" s="1280"/>
      <c r="F453" s="210">
        <f>SUM(F454:F465)</f>
        <v>1145526</v>
      </c>
    </row>
    <row r="454" spans="1:6" ht="17.100000000000001" customHeight="1">
      <c r="A454" s="575"/>
      <c r="B454" s="1277"/>
      <c r="C454" s="1278"/>
      <c r="D454" s="578" t="s">
        <v>162</v>
      </c>
      <c r="E454" s="579" t="s">
        <v>163</v>
      </c>
      <c r="F454" s="210">
        <v>27200</v>
      </c>
    </row>
    <row r="455" spans="1:6" ht="17.100000000000001" customHeight="1">
      <c r="A455" s="575"/>
      <c r="B455" s="1277"/>
      <c r="C455" s="1278"/>
      <c r="D455" s="578" t="s">
        <v>164</v>
      </c>
      <c r="E455" s="579" t="s">
        <v>165</v>
      </c>
      <c r="F455" s="210">
        <v>24000</v>
      </c>
    </row>
    <row r="456" spans="1:6" ht="17.100000000000001" customHeight="1">
      <c r="A456" s="575"/>
      <c r="B456" s="1277"/>
      <c r="C456" s="1278"/>
      <c r="D456" s="578" t="s">
        <v>166</v>
      </c>
      <c r="E456" s="579" t="s">
        <v>167</v>
      </c>
      <c r="F456" s="210">
        <v>5000</v>
      </c>
    </row>
    <row r="457" spans="1:6" ht="17.100000000000001" customHeight="1">
      <c r="A457" s="575"/>
      <c r="B457" s="1277"/>
      <c r="C457" s="1278"/>
      <c r="D457" s="578" t="s">
        <v>168</v>
      </c>
      <c r="E457" s="579" t="s">
        <v>169</v>
      </c>
      <c r="F457" s="210">
        <v>800</v>
      </c>
    </row>
    <row r="458" spans="1:6" ht="17.100000000000001" customHeight="1">
      <c r="A458" s="575"/>
      <c r="B458" s="1277"/>
      <c r="C458" s="1278"/>
      <c r="D458" s="578" t="s">
        <v>170</v>
      </c>
      <c r="E458" s="579" t="s">
        <v>171</v>
      </c>
      <c r="F458" s="210">
        <v>1027326</v>
      </c>
    </row>
    <row r="459" spans="1:6" ht="16.5" customHeight="1">
      <c r="A459" s="575"/>
      <c r="B459" s="1277"/>
      <c r="C459" s="1278"/>
      <c r="D459" s="578" t="s">
        <v>172</v>
      </c>
      <c r="E459" s="579" t="s">
        <v>358</v>
      </c>
      <c r="F459" s="210">
        <v>10400</v>
      </c>
    </row>
    <row r="460" spans="1:6" ht="19.5" customHeight="1">
      <c r="A460" s="575"/>
      <c r="B460" s="1277"/>
      <c r="C460" s="1278"/>
      <c r="D460" s="578" t="s">
        <v>174</v>
      </c>
      <c r="E460" s="579" t="s">
        <v>175</v>
      </c>
      <c r="F460" s="210">
        <v>29500</v>
      </c>
    </row>
    <row r="461" spans="1:6" ht="17.100000000000001" customHeight="1">
      <c r="A461" s="575"/>
      <c r="B461" s="1277"/>
      <c r="C461" s="1278"/>
      <c r="D461" s="578" t="s">
        <v>176</v>
      </c>
      <c r="E461" s="579" t="s">
        <v>177</v>
      </c>
      <c r="F461" s="210">
        <v>3500</v>
      </c>
    </row>
    <row r="462" spans="1:6" ht="17.100000000000001" customHeight="1">
      <c r="A462" s="575"/>
      <c r="B462" s="580"/>
      <c r="C462" s="550"/>
      <c r="D462" s="578" t="s">
        <v>178</v>
      </c>
      <c r="E462" s="579" t="s">
        <v>179</v>
      </c>
      <c r="F462" s="210">
        <v>1800</v>
      </c>
    </row>
    <row r="463" spans="1:6" ht="17.100000000000001" customHeight="1">
      <c r="A463" s="575"/>
      <c r="B463" s="1277"/>
      <c r="C463" s="1278"/>
      <c r="D463" s="578" t="s">
        <v>180</v>
      </c>
      <c r="E463" s="579" t="s">
        <v>181</v>
      </c>
      <c r="F463" s="210">
        <f>7500</f>
        <v>7500</v>
      </c>
    </row>
    <row r="464" spans="1:6" ht="17.100000000000001" hidden="1" customHeight="1">
      <c r="A464" s="575"/>
      <c r="B464" s="1277"/>
      <c r="C464" s="1278"/>
      <c r="D464" s="578" t="s">
        <v>359</v>
      </c>
      <c r="E464" s="579" t="s">
        <v>360</v>
      </c>
      <c r="F464" s="210"/>
    </row>
    <row r="465" spans="1:6" ht="17.100000000000001" customHeight="1">
      <c r="A465" s="575"/>
      <c r="B465" s="1277"/>
      <c r="C465" s="1278"/>
      <c r="D465" s="578" t="s">
        <v>188</v>
      </c>
      <c r="E465" s="579" t="s">
        <v>189</v>
      </c>
      <c r="F465" s="210">
        <v>8500</v>
      </c>
    </row>
    <row r="466" spans="1:6" ht="17.100000000000001" customHeight="1">
      <c r="A466" s="575"/>
      <c r="B466" s="580"/>
      <c r="C466" s="550"/>
      <c r="D466" s="1277"/>
      <c r="E466" s="1281"/>
      <c r="F466" s="1282"/>
    </row>
    <row r="467" spans="1:6" ht="17.100000000000001" customHeight="1">
      <c r="A467" s="575"/>
      <c r="B467" s="580"/>
      <c r="C467" s="550"/>
      <c r="D467" s="1285" t="s">
        <v>190</v>
      </c>
      <c r="E467" s="1286"/>
      <c r="F467" s="210">
        <f>F468</f>
        <v>1500</v>
      </c>
    </row>
    <row r="468" spans="1:6" ht="17.100000000000001" customHeight="1">
      <c r="A468" s="575"/>
      <c r="B468" s="580"/>
      <c r="C468" s="550"/>
      <c r="D468" s="578" t="s">
        <v>191</v>
      </c>
      <c r="E468" s="579" t="s">
        <v>192</v>
      </c>
      <c r="F468" s="210">
        <v>1500</v>
      </c>
    </row>
    <row r="469" spans="1:6" ht="17.100000000000001" customHeight="1">
      <c r="A469" s="575"/>
      <c r="B469" s="1265" t="s">
        <v>361</v>
      </c>
      <c r="C469" s="1266"/>
      <c r="D469" s="576"/>
      <c r="E469" s="577" t="s">
        <v>129</v>
      </c>
      <c r="F469" s="206">
        <f>F470+F475</f>
        <v>121000</v>
      </c>
    </row>
    <row r="470" spans="1:6" ht="17.100000000000001" customHeight="1">
      <c r="A470" s="575"/>
      <c r="B470" s="1267"/>
      <c r="C470" s="1268"/>
      <c r="D470" s="1271" t="s">
        <v>146</v>
      </c>
      <c r="E470" s="1272"/>
      <c r="F470" s="207">
        <f>F471</f>
        <v>100000</v>
      </c>
    </row>
    <row r="471" spans="1:6" ht="17.100000000000001" customHeight="1">
      <c r="A471" s="575"/>
      <c r="B471" s="1269"/>
      <c r="C471" s="1270"/>
      <c r="D471" s="1273" t="s">
        <v>147</v>
      </c>
      <c r="E471" s="1283"/>
      <c r="F471" s="210">
        <f>F472</f>
        <v>100000</v>
      </c>
    </row>
    <row r="472" spans="1:6" ht="17.100000000000001" customHeight="1">
      <c r="A472" s="575"/>
      <c r="B472" s="1269"/>
      <c r="C472" s="1270"/>
      <c r="D472" s="1279" t="s">
        <v>159</v>
      </c>
      <c r="E472" s="1280"/>
      <c r="F472" s="210">
        <f>F473</f>
        <v>100000</v>
      </c>
    </row>
    <row r="473" spans="1:6" ht="17.100000000000001" customHeight="1">
      <c r="A473" s="575"/>
      <c r="B473" s="1269"/>
      <c r="C473" s="1270"/>
      <c r="D473" s="578" t="s">
        <v>166</v>
      </c>
      <c r="E473" s="579" t="s">
        <v>167</v>
      </c>
      <c r="F473" s="210">
        <f>100000</f>
        <v>100000</v>
      </c>
    </row>
    <row r="474" spans="1:6" ht="17.100000000000001" customHeight="1">
      <c r="A474" s="575"/>
      <c r="B474" s="1269"/>
      <c r="C474" s="1270"/>
      <c r="D474" s="1277"/>
      <c r="E474" s="1281"/>
      <c r="F474" s="1282"/>
    </row>
    <row r="475" spans="1:6" ht="17.100000000000001" customHeight="1">
      <c r="A475" s="575"/>
      <c r="B475" s="1269"/>
      <c r="C475" s="1270"/>
      <c r="D475" s="1312" t="s">
        <v>202</v>
      </c>
      <c r="E475" s="1313"/>
      <c r="F475" s="207">
        <f>F476</f>
        <v>21000</v>
      </c>
    </row>
    <row r="476" spans="1:6" ht="17.100000000000001" customHeight="1">
      <c r="A476" s="575"/>
      <c r="B476" s="1269"/>
      <c r="C476" s="1270"/>
      <c r="D476" s="1285" t="s">
        <v>203</v>
      </c>
      <c r="E476" s="1286"/>
      <c r="F476" s="210">
        <f>F477</f>
        <v>21000</v>
      </c>
    </row>
    <row r="477" spans="1:6" ht="17.100000000000001" customHeight="1">
      <c r="A477" s="575"/>
      <c r="B477" s="1297"/>
      <c r="C477" s="1298"/>
      <c r="D477" s="578" t="s">
        <v>204</v>
      </c>
      <c r="E477" s="579" t="s">
        <v>205</v>
      </c>
      <c r="F477" s="210">
        <v>21000</v>
      </c>
    </row>
    <row r="478" spans="1:6" ht="17.100000000000001" customHeight="1">
      <c r="A478" s="572" t="s">
        <v>362</v>
      </c>
      <c r="B478" s="1263"/>
      <c r="C478" s="1264"/>
      <c r="D478" s="573"/>
      <c r="E478" s="574" t="s">
        <v>363</v>
      </c>
      <c r="F478" s="205">
        <f>F479</f>
        <v>10544940</v>
      </c>
    </row>
    <row r="479" spans="1:6" ht="17.100000000000001" customHeight="1">
      <c r="A479" s="575"/>
      <c r="B479" s="1265" t="s">
        <v>364</v>
      </c>
      <c r="C479" s="1266"/>
      <c r="D479" s="576"/>
      <c r="E479" s="577" t="s">
        <v>129</v>
      </c>
      <c r="F479" s="206">
        <f>F480</f>
        <v>10544940</v>
      </c>
    </row>
    <row r="480" spans="1:6" ht="17.100000000000001" customHeight="1">
      <c r="A480" s="575"/>
      <c r="B480" s="1267"/>
      <c r="C480" s="1268"/>
      <c r="D480" s="1271" t="s">
        <v>146</v>
      </c>
      <c r="E480" s="1272"/>
      <c r="F480" s="207">
        <f>F481</f>
        <v>10544940</v>
      </c>
    </row>
    <row r="481" spans="1:11" ht="17.100000000000001" customHeight="1">
      <c r="A481" s="575"/>
      <c r="B481" s="1269"/>
      <c r="C481" s="1270"/>
      <c r="D481" s="1273" t="s">
        <v>147</v>
      </c>
      <c r="E481" s="1283"/>
      <c r="F481" s="210">
        <f>F482</f>
        <v>10544940</v>
      </c>
    </row>
    <row r="482" spans="1:11" ht="17.100000000000001" customHeight="1">
      <c r="A482" s="575"/>
      <c r="B482" s="1269"/>
      <c r="C482" s="1270"/>
      <c r="D482" s="1279" t="s">
        <v>159</v>
      </c>
      <c r="E482" s="1280"/>
      <c r="F482" s="210">
        <f>SUM(F483:F488)</f>
        <v>10544940</v>
      </c>
    </row>
    <row r="483" spans="1:11" ht="17.100000000000001" customHeight="1">
      <c r="A483" s="575"/>
      <c r="B483" s="1269"/>
      <c r="C483" s="1270"/>
      <c r="D483" s="578" t="s">
        <v>164</v>
      </c>
      <c r="E483" s="579" t="s">
        <v>165</v>
      </c>
      <c r="F483" s="210">
        <f>45000</f>
        <v>45000</v>
      </c>
    </row>
    <row r="484" spans="1:11" ht="17.100000000000001" customHeight="1">
      <c r="A484" s="575"/>
      <c r="B484" s="1269"/>
      <c r="C484" s="1270"/>
      <c r="D484" s="578" t="s">
        <v>170</v>
      </c>
      <c r="E484" s="579" t="s">
        <v>171</v>
      </c>
      <c r="F484" s="210">
        <v>326000</v>
      </c>
    </row>
    <row r="485" spans="1:11" ht="17.100000000000001" customHeight="1">
      <c r="A485" s="575"/>
      <c r="B485" s="1269"/>
      <c r="C485" s="1270"/>
      <c r="D485" s="578" t="s">
        <v>172</v>
      </c>
      <c r="E485" s="579" t="s">
        <v>173</v>
      </c>
      <c r="F485" s="210">
        <v>20000</v>
      </c>
      <c r="K485" s="222"/>
    </row>
    <row r="486" spans="1:11" ht="17.100000000000001" customHeight="1">
      <c r="A486" s="575"/>
      <c r="B486" s="1269"/>
      <c r="C486" s="1270"/>
      <c r="D486" s="578" t="s">
        <v>257</v>
      </c>
      <c r="E486" s="579" t="s">
        <v>258</v>
      </c>
      <c r="F486" s="210">
        <v>105000</v>
      </c>
    </row>
    <row r="487" spans="1:11" ht="17.100000000000001" customHeight="1">
      <c r="A487" s="575"/>
      <c r="B487" s="596"/>
      <c r="C487" s="549"/>
      <c r="D487" s="555" t="s">
        <v>178</v>
      </c>
      <c r="E487" s="579" t="s">
        <v>179</v>
      </c>
      <c r="F487" s="611">
        <v>10016340</v>
      </c>
    </row>
    <row r="488" spans="1:11" ht="15.75" customHeight="1">
      <c r="A488" s="575"/>
      <c r="B488" s="596"/>
      <c r="C488" s="549"/>
      <c r="D488" s="578" t="s">
        <v>188</v>
      </c>
      <c r="E488" s="579" t="s">
        <v>189</v>
      </c>
      <c r="F488" s="612">
        <v>32600</v>
      </c>
    </row>
    <row r="489" spans="1:11" ht="17.100000000000001" customHeight="1">
      <c r="A489" s="572" t="s">
        <v>365</v>
      </c>
      <c r="B489" s="1263"/>
      <c r="C489" s="1264"/>
      <c r="D489" s="573"/>
      <c r="E489" s="574" t="s">
        <v>366</v>
      </c>
      <c r="F489" s="205">
        <f>F490</f>
        <v>1000000</v>
      </c>
    </row>
    <row r="490" spans="1:11" ht="17.100000000000001" customHeight="1">
      <c r="A490" s="575"/>
      <c r="B490" s="1265" t="s">
        <v>367</v>
      </c>
      <c r="C490" s="1266"/>
      <c r="D490" s="576"/>
      <c r="E490" s="577" t="s">
        <v>129</v>
      </c>
      <c r="F490" s="206">
        <f>F491+F501</f>
        <v>1000000</v>
      </c>
    </row>
    <row r="491" spans="1:11" ht="17.100000000000001" customHeight="1">
      <c r="A491" s="575"/>
      <c r="B491" s="1267"/>
      <c r="C491" s="1268"/>
      <c r="D491" s="1271" t="s">
        <v>146</v>
      </c>
      <c r="E491" s="1272"/>
      <c r="F491" s="207">
        <f>F492</f>
        <v>850000</v>
      </c>
    </row>
    <row r="492" spans="1:11" ht="17.100000000000001" customHeight="1">
      <c r="A492" s="575"/>
      <c r="B492" s="1269"/>
      <c r="C492" s="1270"/>
      <c r="D492" s="1273" t="s">
        <v>213</v>
      </c>
      <c r="E492" s="1283"/>
      <c r="F492" s="210">
        <f>SUM(F493:F499)</f>
        <v>850000</v>
      </c>
    </row>
    <row r="493" spans="1:11" ht="17.100000000000001" customHeight="1">
      <c r="A493" s="575"/>
      <c r="B493" s="1277"/>
      <c r="C493" s="1278"/>
      <c r="D493" s="578" t="s">
        <v>368</v>
      </c>
      <c r="E493" s="579" t="s">
        <v>158</v>
      </c>
      <c r="F493" s="210">
        <v>60000</v>
      </c>
    </row>
    <row r="494" spans="1:11" ht="17.100000000000001" customHeight="1">
      <c r="A494" s="575"/>
      <c r="B494" s="1277"/>
      <c r="C494" s="1278"/>
      <c r="D494" s="578" t="s">
        <v>369</v>
      </c>
      <c r="E494" s="579" t="s">
        <v>163</v>
      </c>
      <c r="F494" s="210">
        <v>60000</v>
      </c>
    </row>
    <row r="495" spans="1:11" ht="17.100000000000001" customHeight="1">
      <c r="A495" s="575"/>
      <c r="B495" s="1277"/>
      <c r="C495" s="1278"/>
      <c r="D495" s="578" t="s">
        <v>338</v>
      </c>
      <c r="E495" s="579" t="s">
        <v>171</v>
      </c>
      <c r="F495" s="210">
        <v>480000</v>
      </c>
    </row>
    <row r="496" spans="1:11" ht="16.5" customHeight="1">
      <c r="A496" s="575"/>
      <c r="B496" s="1277"/>
      <c r="C496" s="1278"/>
      <c r="D496" s="578" t="s">
        <v>370</v>
      </c>
      <c r="E496" s="579" t="s">
        <v>371</v>
      </c>
      <c r="F496" s="210">
        <v>40000</v>
      </c>
    </row>
    <row r="497" spans="1:6" ht="16.5" customHeight="1">
      <c r="A497" s="575"/>
      <c r="B497" s="1277"/>
      <c r="C497" s="1278"/>
      <c r="D497" s="578" t="s">
        <v>297</v>
      </c>
      <c r="E497" s="579" t="s">
        <v>258</v>
      </c>
      <c r="F497" s="210">
        <v>60000</v>
      </c>
    </row>
    <row r="498" spans="1:6" ht="17.100000000000001" customHeight="1">
      <c r="A498" s="575"/>
      <c r="B498" s="1277"/>
      <c r="C498" s="1278"/>
      <c r="D498" s="578" t="s">
        <v>339</v>
      </c>
      <c r="E498" s="579" t="s">
        <v>177</v>
      </c>
      <c r="F498" s="210">
        <v>60000</v>
      </c>
    </row>
    <row r="499" spans="1:6" ht="17.100000000000001" customHeight="1">
      <c r="A499" s="575"/>
      <c r="B499" s="1277"/>
      <c r="C499" s="1278"/>
      <c r="D499" s="578" t="s">
        <v>340</v>
      </c>
      <c r="E499" s="579" t="s">
        <v>315</v>
      </c>
      <c r="F499" s="210">
        <v>90000</v>
      </c>
    </row>
    <row r="500" spans="1:6" ht="17.100000000000001" customHeight="1">
      <c r="A500" s="575"/>
      <c r="B500" s="580"/>
      <c r="C500" s="550"/>
      <c r="D500" s="587"/>
      <c r="E500" s="582"/>
      <c r="F500" s="210"/>
    </row>
    <row r="501" spans="1:6" ht="17.100000000000001" customHeight="1">
      <c r="A501" s="575"/>
      <c r="B501" s="580"/>
      <c r="C501" s="550"/>
      <c r="D501" s="1312" t="s">
        <v>202</v>
      </c>
      <c r="E501" s="1313"/>
      <c r="F501" s="207">
        <f>F502</f>
        <v>150000</v>
      </c>
    </row>
    <row r="502" spans="1:6" ht="17.100000000000001" customHeight="1">
      <c r="A502" s="575"/>
      <c r="B502" s="580"/>
      <c r="C502" s="550"/>
      <c r="D502" s="1285" t="s">
        <v>272</v>
      </c>
      <c r="E502" s="1286"/>
      <c r="F502" s="210">
        <f>SUM(F503:F503)</f>
        <v>150000</v>
      </c>
    </row>
    <row r="503" spans="1:6" ht="17.100000000000001" customHeight="1">
      <c r="A503" s="575"/>
      <c r="B503" s="1277"/>
      <c r="C503" s="1278"/>
      <c r="D503" s="578" t="s">
        <v>303</v>
      </c>
      <c r="E503" s="579" t="s">
        <v>246</v>
      </c>
      <c r="F503" s="210">
        <v>150000</v>
      </c>
    </row>
    <row r="504" spans="1:6" ht="17.100000000000001" customHeight="1">
      <c r="A504" s="575"/>
      <c r="B504" s="1289"/>
      <c r="C504" s="1344"/>
      <c r="D504" s="1277"/>
      <c r="E504" s="1291"/>
      <c r="F504" s="1292"/>
    </row>
    <row r="505" spans="1:6" ht="17.100000000000001" customHeight="1">
      <c r="A505" s="575"/>
      <c r="B505" s="1289"/>
      <c r="C505" s="1344"/>
      <c r="D505" s="1279" t="s">
        <v>206</v>
      </c>
      <c r="E505" s="1311"/>
      <c r="F505" s="210">
        <f>F506</f>
        <v>150000</v>
      </c>
    </row>
    <row r="506" spans="1:6" ht="17.100000000000001" customHeight="1">
      <c r="A506" s="575"/>
      <c r="B506" s="1289"/>
      <c r="C506" s="1344"/>
      <c r="D506" s="578" t="s">
        <v>303</v>
      </c>
      <c r="E506" s="579" t="s">
        <v>246</v>
      </c>
      <c r="F506" s="210">
        <v>150000</v>
      </c>
    </row>
    <row r="507" spans="1:6" ht="17.100000000000001" customHeight="1">
      <c r="A507" s="572" t="s">
        <v>4</v>
      </c>
      <c r="B507" s="1263"/>
      <c r="C507" s="1264"/>
      <c r="D507" s="573"/>
      <c r="E507" s="574" t="s">
        <v>372</v>
      </c>
      <c r="F507" s="205">
        <f>F508+F528+F541+F626+F637+F668+F690+F695</f>
        <v>114884947</v>
      </c>
    </row>
    <row r="508" spans="1:6" ht="17.100000000000001" customHeight="1">
      <c r="A508" s="575"/>
      <c r="B508" s="1265" t="s">
        <v>373</v>
      </c>
      <c r="C508" s="1266"/>
      <c r="D508" s="576"/>
      <c r="E508" s="577" t="s">
        <v>374</v>
      </c>
      <c r="F508" s="206">
        <f>F509</f>
        <v>1922651</v>
      </c>
    </row>
    <row r="509" spans="1:6" ht="17.100000000000001" customHeight="1">
      <c r="A509" s="575"/>
      <c r="B509" s="1267"/>
      <c r="C509" s="1268"/>
      <c r="D509" s="1271" t="s">
        <v>146</v>
      </c>
      <c r="E509" s="1272"/>
      <c r="F509" s="207">
        <f>F510</f>
        <v>1922651</v>
      </c>
    </row>
    <row r="510" spans="1:6" ht="17.100000000000001" customHeight="1">
      <c r="A510" s="575"/>
      <c r="B510" s="1269"/>
      <c r="C510" s="1270"/>
      <c r="D510" s="1273" t="s">
        <v>147</v>
      </c>
      <c r="E510" s="1283"/>
      <c r="F510" s="210">
        <f>F511+F518</f>
        <v>1922651</v>
      </c>
    </row>
    <row r="511" spans="1:6" ht="17.100000000000001" customHeight="1">
      <c r="A511" s="575"/>
      <c r="B511" s="1269"/>
      <c r="C511" s="1270"/>
      <c r="D511" s="1275" t="s">
        <v>148</v>
      </c>
      <c r="E511" s="1284"/>
      <c r="F511" s="210">
        <f>SUM(F512:F516)</f>
        <v>1846831</v>
      </c>
    </row>
    <row r="512" spans="1:6" ht="17.100000000000001" customHeight="1">
      <c r="A512" s="575"/>
      <c r="B512" s="1269"/>
      <c r="C512" s="1270"/>
      <c r="D512" s="578" t="s">
        <v>149</v>
      </c>
      <c r="E512" s="579" t="s">
        <v>150</v>
      </c>
      <c r="F512" s="210">
        <v>1392409</v>
      </c>
    </row>
    <row r="513" spans="1:6" ht="17.100000000000001" customHeight="1">
      <c r="A513" s="575"/>
      <c r="B513" s="1269"/>
      <c r="C513" s="1270"/>
      <c r="D513" s="578" t="s">
        <v>151</v>
      </c>
      <c r="E513" s="579" t="s">
        <v>152</v>
      </c>
      <c r="F513" s="210">
        <v>151247</v>
      </c>
    </row>
    <row r="514" spans="1:6" ht="17.100000000000001" customHeight="1">
      <c r="A514" s="575"/>
      <c r="B514" s="1277"/>
      <c r="C514" s="1278"/>
      <c r="D514" s="578" t="s">
        <v>153</v>
      </c>
      <c r="E514" s="579" t="s">
        <v>154</v>
      </c>
      <c r="F514" s="210">
        <v>265355</v>
      </c>
    </row>
    <row r="515" spans="1:6" ht="17.100000000000001" customHeight="1">
      <c r="A515" s="575"/>
      <c r="B515" s="1277"/>
      <c r="C515" s="1278"/>
      <c r="D515" s="578" t="s">
        <v>155</v>
      </c>
      <c r="E515" s="579" t="s">
        <v>156</v>
      </c>
      <c r="F515" s="210">
        <v>37820</v>
      </c>
    </row>
    <row r="516" spans="1:6" ht="17.100000000000001" hidden="1" customHeight="1">
      <c r="A516" s="575"/>
      <c r="B516" s="1277"/>
      <c r="C516" s="1278"/>
      <c r="D516" s="578" t="s">
        <v>157</v>
      </c>
      <c r="E516" s="579" t="s">
        <v>158</v>
      </c>
      <c r="F516" s="210">
        <v>0</v>
      </c>
    </row>
    <row r="517" spans="1:6" ht="17.100000000000001" customHeight="1">
      <c r="A517" s="575"/>
      <c r="B517" s="580"/>
      <c r="C517" s="550"/>
      <c r="D517" s="1277"/>
      <c r="E517" s="1281"/>
      <c r="F517" s="1282"/>
    </row>
    <row r="518" spans="1:6" ht="17.100000000000001" customHeight="1">
      <c r="A518" s="575"/>
      <c r="B518" s="580"/>
      <c r="C518" s="550"/>
      <c r="D518" s="1279" t="s">
        <v>159</v>
      </c>
      <c r="E518" s="1280"/>
      <c r="F518" s="210">
        <f>SUM(F519:F527)</f>
        <v>75820</v>
      </c>
    </row>
    <row r="519" spans="1:6" ht="17.100000000000001" customHeight="1">
      <c r="A519" s="575"/>
      <c r="B519" s="580"/>
      <c r="C519" s="550"/>
      <c r="D519" s="578" t="s">
        <v>160</v>
      </c>
      <c r="E519" s="579" t="s">
        <v>161</v>
      </c>
      <c r="F519" s="210">
        <v>40000</v>
      </c>
    </row>
    <row r="520" spans="1:6" ht="17.100000000000001" hidden="1" customHeight="1">
      <c r="A520" s="575"/>
      <c r="B520" s="1277"/>
      <c r="C520" s="1278"/>
      <c r="D520" s="578" t="s">
        <v>162</v>
      </c>
      <c r="E520" s="579" t="s">
        <v>163</v>
      </c>
      <c r="F520" s="210"/>
    </row>
    <row r="521" spans="1:6" ht="17.100000000000001" hidden="1" customHeight="1">
      <c r="A521" s="575"/>
      <c r="B521" s="1277"/>
      <c r="C521" s="1278"/>
      <c r="D521" s="578" t="s">
        <v>164</v>
      </c>
      <c r="E521" s="579" t="s">
        <v>165</v>
      </c>
      <c r="F521" s="210"/>
    </row>
    <row r="522" spans="1:6" ht="17.100000000000001" hidden="1" customHeight="1">
      <c r="A522" s="575"/>
      <c r="B522" s="1277"/>
      <c r="C522" s="1278"/>
      <c r="D522" s="578" t="s">
        <v>170</v>
      </c>
      <c r="E522" s="579" t="s">
        <v>171</v>
      </c>
      <c r="F522" s="210"/>
    </row>
    <row r="523" spans="1:6" ht="27.75" hidden="1" customHeight="1">
      <c r="A523" s="575"/>
      <c r="B523" s="1277"/>
      <c r="C523" s="1278"/>
      <c r="D523" s="578" t="s">
        <v>172</v>
      </c>
      <c r="E523" s="579" t="s">
        <v>199</v>
      </c>
      <c r="F523" s="210"/>
    </row>
    <row r="524" spans="1:6" ht="29.25" hidden="1" customHeight="1">
      <c r="A524" s="575"/>
      <c r="B524" s="1277"/>
      <c r="C524" s="1278"/>
      <c r="D524" s="578" t="s">
        <v>375</v>
      </c>
      <c r="E524" s="579" t="s">
        <v>376</v>
      </c>
      <c r="F524" s="210"/>
    </row>
    <row r="525" spans="1:6" ht="17.100000000000001" hidden="1" customHeight="1">
      <c r="A525" s="575"/>
      <c r="B525" s="1277"/>
      <c r="C525" s="1278"/>
      <c r="D525" s="578" t="s">
        <v>176</v>
      </c>
      <c r="E525" s="579" t="s">
        <v>177</v>
      </c>
      <c r="F525" s="210"/>
    </row>
    <row r="526" spans="1:6" ht="17.100000000000001" customHeight="1">
      <c r="A526" s="575"/>
      <c r="B526" s="1277"/>
      <c r="C526" s="1278"/>
      <c r="D526" s="578" t="s">
        <v>180</v>
      </c>
      <c r="E526" s="579" t="s">
        <v>181</v>
      </c>
      <c r="F526" s="210">
        <v>35820</v>
      </c>
    </row>
    <row r="527" spans="1:6" ht="17.100000000000001" hidden="1" customHeight="1">
      <c r="A527" s="575"/>
      <c r="B527" s="1303"/>
      <c r="C527" s="1320"/>
      <c r="D527" s="578" t="s">
        <v>188</v>
      </c>
      <c r="E527" s="579" t="s">
        <v>189</v>
      </c>
      <c r="F527" s="210">
        <v>0</v>
      </c>
    </row>
    <row r="528" spans="1:6" ht="17.100000000000001" customHeight="1">
      <c r="A528" s="575"/>
      <c r="B528" s="1265" t="s">
        <v>377</v>
      </c>
      <c r="C528" s="1266"/>
      <c r="D528" s="576"/>
      <c r="E528" s="577" t="s">
        <v>378</v>
      </c>
      <c r="F528" s="206">
        <f>F529</f>
        <v>1020000</v>
      </c>
    </row>
    <row r="529" spans="1:6" ht="17.100000000000001" customHeight="1">
      <c r="A529" s="575"/>
      <c r="B529" s="580"/>
      <c r="C529" s="550"/>
      <c r="D529" s="1271" t="s">
        <v>146</v>
      </c>
      <c r="E529" s="1272"/>
      <c r="F529" s="207">
        <f>F530+F539</f>
        <v>1020000</v>
      </c>
    </row>
    <row r="530" spans="1:6" ht="17.100000000000001" customHeight="1">
      <c r="A530" s="575"/>
      <c r="B530" s="580"/>
      <c r="C530" s="550"/>
      <c r="D530" s="1273" t="s">
        <v>147</v>
      </c>
      <c r="E530" s="1283"/>
      <c r="F530" s="210">
        <f>F531+F534</f>
        <v>120000</v>
      </c>
    </row>
    <row r="531" spans="1:6" ht="17.100000000000001" customHeight="1">
      <c r="A531" s="575"/>
      <c r="B531" s="580"/>
      <c r="C531" s="550"/>
      <c r="D531" s="1275" t="s">
        <v>148</v>
      </c>
      <c r="E531" s="1284"/>
      <c r="F531" s="210">
        <f>F532</f>
        <v>5000</v>
      </c>
    </row>
    <row r="532" spans="1:6" ht="17.100000000000001" customHeight="1">
      <c r="A532" s="575"/>
      <c r="B532" s="1277"/>
      <c r="C532" s="1278"/>
      <c r="D532" s="578" t="s">
        <v>157</v>
      </c>
      <c r="E532" s="579" t="s">
        <v>158</v>
      </c>
      <c r="F532" s="210">
        <f>5000</f>
        <v>5000</v>
      </c>
    </row>
    <row r="533" spans="1:6" ht="17.100000000000001" customHeight="1">
      <c r="A533" s="575"/>
      <c r="B533" s="580"/>
      <c r="C533" s="550"/>
      <c r="D533" s="1277"/>
      <c r="E533" s="1281"/>
      <c r="F533" s="1282"/>
    </row>
    <row r="534" spans="1:6" ht="17.100000000000001" customHeight="1">
      <c r="A534" s="575"/>
      <c r="B534" s="580"/>
      <c r="C534" s="550"/>
      <c r="D534" s="1279" t="s">
        <v>159</v>
      </c>
      <c r="E534" s="1280"/>
      <c r="F534" s="210">
        <f>SUM(F535:F537)</f>
        <v>115000</v>
      </c>
    </row>
    <row r="535" spans="1:6" ht="17.100000000000001" customHeight="1">
      <c r="A535" s="575"/>
      <c r="B535" s="1277"/>
      <c r="C535" s="1278"/>
      <c r="D535" s="578" t="s">
        <v>162</v>
      </c>
      <c r="E535" s="579" t="s">
        <v>163</v>
      </c>
      <c r="F535" s="210">
        <f>20000</f>
        <v>20000</v>
      </c>
    </row>
    <row r="536" spans="1:6" ht="17.100000000000001" customHeight="1">
      <c r="A536" s="575"/>
      <c r="B536" s="1277"/>
      <c r="C536" s="1278"/>
      <c r="D536" s="578" t="s">
        <v>170</v>
      </c>
      <c r="E536" s="579" t="s">
        <v>171</v>
      </c>
      <c r="F536" s="210">
        <f>90000</f>
        <v>90000</v>
      </c>
    </row>
    <row r="537" spans="1:6" ht="17.100000000000001" customHeight="1">
      <c r="A537" s="575"/>
      <c r="B537" s="1277"/>
      <c r="C537" s="1278"/>
      <c r="D537" s="578" t="s">
        <v>172</v>
      </c>
      <c r="E537" s="579" t="s">
        <v>173</v>
      </c>
      <c r="F537" s="210">
        <v>5000</v>
      </c>
    </row>
    <row r="538" spans="1:6" ht="17.100000000000001" customHeight="1">
      <c r="A538" s="575"/>
      <c r="B538" s="580"/>
      <c r="C538" s="550"/>
      <c r="D538" s="1277"/>
      <c r="E538" s="1281"/>
      <c r="F538" s="1282"/>
    </row>
    <row r="539" spans="1:6" ht="17.100000000000001" customHeight="1">
      <c r="A539" s="575"/>
      <c r="B539" s="580"/>
      <c r="C539" s="550"/>
      <c r="D539" s="1285" t="s">
        <v>190</v>
      </c>
      <c r="E539" s="1286"/>
      <c r="F539" s="210">
        <f>F540</f>
        <v>900000</v>
      </c>
    </row>
    <row r="540" spans="1:6" ht="17.100000000000001" customHeight="1">
      <c r="A540" s="575"/>
      <c r="B540" s="580"/>
      <c r="C540" s="550"/>
      <c r="D540" s="578" t="s">
        <v>379</v>
      </c>
      <c r="E540" s="579" t="s">
        <v>380</v>
      </c>
      <c r="F540" s="210">
        <v>900000</v>
      </c>
    </row>
    <row r="541" spans="1:6" ht="17.100000000000001" customHeight="1">
      <c r="A541" s="575"/>
      <c r="B541" s="580"/>
      <c r="C541" s="223" t="s">
        <v>381</v>
      </c>
      <c r="D541" s="224"/>
      <c r="E541" s="225" t="s">
        <v>382</v>
      </c>
      <c r="F541" s="206">
        <f>F542+F615</f>
        <v>89653543</v>
      </c>
    </row>
    <row r="542" spans="1:6" ht="17.100000000000001" customHeight="1">
      <c r="A542" s="575"/>
      <c r="B542" s="580"/>
      <c r="C542" s="550"/>
      <c r="D542" s="1353" t="s">
        <v>383</v>
      </c>
      <c r="E542" s="1354"/>
      <c r="F542" s="533">
        <f>F543+F571+F574</f>
        <v>85753543</v>
      </c>
    </row>
    <row r="543" spans="1:6" ht="17.100000000000001" customHeight="1">
      <c r="A543" s="575"/>
      <c r="B543" s="580"/>
      <c r="C543" s="550"/>
      <c r="D543" s="1273" t="s">
        <v>147</v>
      </c>
      <c r="E543" s="1283"/>
      <c r="F543" s="601">
        <f>F544+F551</f>
        <v>49415792</v>
      </c>
    </row>
    <row r="544" spans="1:6" ht="17.100000000000001" customHeight="1">
      <c r="A544" s="575"/>
      <c r="B544" s="580"/>
      <c r="C544" s="550"/>
      <c r="D544" s="1275" t="s">
        <v>148</v>
      </c>
      <c r="E544" s="1284"/>
      <c r="F544" s="601">
        <f>SUM(F545:F549)</f>
        <v>40678107</v>
      </c>
    </row>
    <row r="545" spans="1:9" ht="17.100000000000001" customHeight="1">
      <c r="A545" s="575"/>
      <c r="B545" s="580"/>
      <c r="C545" s="550"/>
      <c r="D545" s="578" t="s">
        <v>149</v>
      </c>
      <c r="E545" s="579" t="s">
        <v>150</v>
      </c>
      <c r="F545" s="210">
        <v>31866419</v>
      </c>
    </row>
    <row r="546" spans="1:9" ht="17.100000000000001" customHeight="1">
      <c r="A546" s="575"/>
      <c r="B546" s="580"/>
      <c r="C546" s="550"/>
      <c r="D546" s="578" t="s">
        <v>151</v>
      </c>
      <c r="E546" s="579" t="s">
        <v>152</v>
      </c>
      <c r="F546" s="210">
        <v>2357418</v>
      </c>
    </row>
    <row r="547" spans="1:9" ht="17.100000000000001" customHeight="1">
      <c r="A547" s="575"/>
      <c r="B547" s="580"/>
      <c r="C547" s="550"/>
      <c r="D547" s="578" t="s">
        <v>153</v>
      </c>
      <c r="E547" s="579" t="s">
        <v>154</v>
      </c>
      <c r="F547" s="210">
        <v>5605367</v>
      </c>
    </row>
    <row r="548" spans="1:9" ht="17.100000000000001" customHeight="1">
      <c r="A548" s="575"/>
      <c r="B548" s="580"/>
      <c r="C548" s="550"/>
      <c r="D548" s="578" t="s">
        <v>155</v>
      </c>
      <c r="E548" s="579" t="s">
        <v>156</v>
      </c>
      <c r="F548" s="210">
        <v>798903</v>
      </c>
    </row>
    <row r="549" spans="1:9" ht="17.100000000000001" customHeight="1">
      <c r="A549" s="575"/>
      <c r="B549" s="580"/>
      <c r="C549" s="550"/>
      <c r="D549" s="578" t="s">
        <v>157</v>
      </c>
      <c r="E549" s="579" t="s">
        <v>158</v>
      </c>
      <c r="F549" s="210">
        <v>50000</v>
      </c>
    </row>
    <row r="550" spans="1:9" ht="17.100000000000001" customHeight="1">
      <c r="A550" s="575"/>
      <c r="B550" s="580"/>
      <c r="C550" s="550"/>
      <c r="D550" s="1277"/>
      <c r="E550" s="1281"/>
      <c r="F550" s="1282"/>
    </row>
    <row r="551" spans="1:9" ht="17.100000000000001" customHeight="1">
      <c r="A551" s="575"/>
      <c r="B551" s="580"/>
      <c r="C551" s="551"/>
      <c r="D551" s="1355" t="s">
        <v>159</v>
      </c>
      <c r="E551" s="1356"/>
      <c r="F551" s="210">
        <f>SUM(F552:F569)</f>
        <v>8737685</v>
      </c>
    </row>
    <row r="552" spans="1:9" ht="17.100000000000001" customHeight="1">
      <c r="A552" s="575"/>
      <c r="B552" s="580"/>
      <c r="C552" s="551"/>
      <c r="D552" s="211" t="s">
        <v>160</v>
      </c>
      <c r="E552" s="579" t="s">
        <v>161</v>
      </c>
      <c r="F552" s="601">
        <v>600000</v>
      </c>
    </row>
    <row r="553" spans="1:9" ht="17.100000000000001" customHeight="1">
      <c r="A553" s="575"/>
      <c r="B553" s="580"/>
      <c r="C553" s="550"/>
      <c r="D553" s="578" t="s">
        <v>162</v>
      </c>
      <c r="E553" s="579" t="s">
        <v>163</v>
      </c>
      <c r="F553" s="210">
        <f>15000+2000000</f>
        <v>2015000</v>
      </c>
      <c r="H553" s="201" t="s">
        <v>384</v>
      </c>
      <c r="I553" s="201" t="s">
        <v>385</v>
      </c>
    </row>
    <row r="554" spans="1:9" ht="17.100000000000001" customHeight="1">
      <c r="A554" s="575"/>
      <c r="B554" s="580"/>
      <c r="C554" s="550"/>
      <c r="D554" s="578" t="s">
        <v>164</v>
      </c>
      <c r="E554" s="579" t="s">
        <v>165</v>
      </c>
      <c r="F554" s="210">
        <v>1240000</v>
      </c>
    </row>
    <row r="555" spans="1:9" ht="17.100000000000001" customHeight="1">
      <c r="A555" s="575"/>
      <c r="B555" s="580"/>
      <c r="C555" s="550"/>
      <c r="D555" s="578" t="s">
        <v>166</v>
      </c>
      <c r="E555" s="579" t="s">
        <v>167</v>
      </c>
      <c r="F555" s="210">
        <v>315000</v>
      </c>
    </row>
    <row r="556" spans="1:9" ht="17.100000000000001" customHeight="1">
      <c r="A556" s="575"/>
      <c r="B556" s="580"/>
      <c r="C556" s="550"/>
      <c r="D556" s="578" t="s">
        <v>168</v>
      </c>
      <c r="E556" s="579" t="s">
        <v>169</v>
      </c>
      <c r="F556" s="210">
        <v>100000</v>
      </c>
    </row>
    <row r="557" spans="1:9" ht="17.100000000000001" customHeight="1">
      <c r="A557" s="575"/>
      <c r="B557" s="580"/>
      <c r="C557" s="550"/>
      <c r="D557" s="578" t="s">
        <v>170</v>
      </c>
      <c r="E557" s="579" t="s">
        <v>171</v>
      </c>
      <c r="F557" s="210">
        <f>35000+1598935</f>
        <v>1633935</v>
      </c>
      <c r="H557" s="201" t="s">
        <v>386</v>
      </c>
      <c r="I557" s="201" t="s">
        <v>387</v>
      </c>
    </row>
    <row r="558" spans="1:9" ht="16.5" customHeight="1">
      <c r="A558" s="575"/>
      <c r="B558" s="580"/>
      <c r="C558" s="550"/>
      <c r="D558" s="578" t="s">
        <v>172</v>
      </c>
      <c r="E558" s="579" t="s">
        <v>173</v>
      </c>
      <c r="F558" s="210">
        <v>270000</v>
      </c>
    </row>
    <row r="559" spans="1:9" ht="17.100000000000001" customHeight="1">
      <c r="A559" s="575"/>
      <c r="B559" s="580"/>
      <c r="C559" s="550"/>
      <c r="D559" s="578" t="s">
        <v>388</v>
      </c>
      <c r="E559" s="579" t="s">
        <v>371</v>
      </c>
      <c r="F559" s="210">
        <v>10000</v>
      </c>
    </row>
    <row r="560" spans="1:9" ht="17.100000000000001" customHeight="1">
      <c r="A560" s="575"/>
      <c r="B560" s="580"/>
      <c r="C560" s="550"/>
      <c r="D560" s="578" t="s">
        <v>257</v>
      </c>
      <c r="E560" s="579" t="s">
        <v>258</v>
      </c>
      <c r="F560" s="210">
        <v>60000</v>
      </c>
    </row>
    <row r="561" spans="1:6" ht="17.100000000000001" customHeight="1">
      <c r="A561" s="575"/>
      <c r="B561" s="580"/>
      <c r="C561" s="550"/>
      <c r="D561" s="578" t="s">
        <v>174</v>
      </c>
      <c r="E561" s="579" t="s">
        <v>175</v>
      </c>
      <c r="F561" s="210">
        <v>60000</v>
      </c>
    </row>
    <row r="562" spans="1:6" ht="17.100000000000001" customHeight="1">
      <c r="A562" s="575"/>
      <c r="B562" s="580"/>
      <c r="C562" s="550"/>
      <c r="D562" s="578" t="s">
        <v>176</v>
      </c>
      <c r="E562" s="579" t="s">
        <v>177</v>
      </c>
      <c r="F562" s="210">
        <v>200000</v>
      </c>
    </row>
    <row r="563" spans="1:6" ht="17.100000000000001" customHeight="1">
      <c r="A563" s="575"/>
      <c r="B563" s="580"/>
      <c r="C563" s="550"/>
      <c r="D563" s="578" t="s">
        <v>314</v>
      </c>
      <c r="E563" s="579" t="s">
        <v>315</v>
      </c>
      <c r="F563" s="210">
        <v>300000</v>
      </c>
    </row>
    <row r="564" spans="1:6" ht="17.100000000000001" customHeight="1">
      <c r="A564" s="575"/>
      <c r="B564" s="580"/>
      <c r="C564" s="550"/>
      <c r="D564" s="578" t="s">
        <v>178</v>
      </c>
      <c r="E564" s="579" t="s">
        <v>179</v>
      </c>
      <c r="F564" s="210">
        <v>300000</v>
      </c>
    </row>
    <row r="565" spans="1:6" ht="17.100000000000001" customHeight="1">
      <c r="A565" s="575"/>
      <c r="B565" s="580"/>
      <c r="C565" s="550"/>
      <c r="D565" s="578" t="s">
        <v>180</v>
      </c>
      <c r="E565" s="579" t="s">
        <v>181</v>
      </c>
      <c r="F565" s="210">
        <v>1173750</v>
      </c>
    </row>
    <row r="566" spans="1:6" ht="17.100000000000001" customHeight="1">
      <c r="A566" s="575"/>
      <c r="B566" s="580"/>
      <c r="C566" s="550"/>
      <c r="D566" s="578" t="s">
        <v>184</v>
      </c>
      <c r="E566" s="579" t="s">
        <v>185</v>
      </c>
      <c r="F566" s="210">
        <v>10000</v>
      </c>
    </row>
    <row r="567" spans="1:6" ht="17.100000000000001" customHeight="1">
      <c r="A567" s="575"/>
      <c r="B567" s="580"/>
      <c r="C567" s="550"/>
      <c r="D567" s="578" t="s">
        <v>186</v>
      </c>
      <c r="E567" s="579" t="s">
        <v>187</v>
      </c>
      <c r="F567" s="210">
        <v>150000</v>
      </c>
    </row>
    <row r="568" spans="1:6" ht="17.100000000000001" customHeight="1">
      <c r="A568" s="575"/>
      <c r="B568" s="580"/>
      <c r="C568" s="550"/>
      <c r="D568" s="583" t="s">
        <v>195</v>
      </c>
      <c r="E568" s="584" t="s">
        <v>196</v>
      </c>
      <c r="F568" s="585">
        <v>100000</v>
      </c>
    </row>
    <row r="569" spans="1:6" ht="17.100000000000001" customHeight="1">
      <c r="A569" s="575"/>
      <c r="B569" s="580"/>
      <c r="C569" s="551"/>
      <c r="D569" s="211" t="s">
        <v>188</v>
      </c>
      <c r="E569" s="559" t="s">
        <v>189</v>
      </c>
      <c r="F569" s="210">
        <v>200000</v>
      </c>
    </row>
    <row r="570" spans="1:6" ht="17.100000000000001" customHeight="1">
      <c r="A570" s="575"/>
      <c r="B570" s="580"/>
      <c r="C570" s="550"/>
      <c r="D570" s="1277"/>
      <c r="E570" s="1281"/>
      <c r="F570" s="1282"/>
    </row>
    <row r="571" spans="1:6" ht="17.100000000000001" customHeight="1">
      <c r="A571" s="575"/>
      <c r="B571" s="580"/>
      <c r="C571" s="550"/>
      <c r="D571" s="1285" t="s">
        <v>190</v>
      </c>
      <c r="E571" s="1286"/>
      <c r="F571" s="210">
        <f>F572</f>
        <v>100000</v>
      </c>
    </row>
    <row r="572" spans="1:6" ht="17.100000000000001" customHeight="1">
      <c r="A572" s="575"/>
      <c r="B572" s="580"/>
      <c r="C572" s="550"/>
      <c r="D572" s="531" t="s">
        <v>191</v>
      </c>
      <c r="E572" s="532" t="s">
        <v>192</v>
      </c>
      <c r="F572" s="601">
        <v>100000</v>
      </c>
    </row>
    <row r="573" spans="1:6" ht="17.100000000000001" customHeight="1">
      <c r="A573" s="575"/>
      <c r="B573" s="580"/>
      <c r="C573" s="550"/>
      <c r="D573" s="1277"/>
      <c r="E573" s="1281"/>
      <c r="F573" s="1282"/>
    </row>
    <row r="574" spans="1:6" ht="17.100000000000001" customHeight="1">
      <c r="A574" s="575"/>
      <c r="B574" s="580"/>
      <c r="C574" s="551"/>
      <c r="D574" s="1357" t="s">
        <v>213</v>
      </c>
      <c r="E574" s="1357"/>
      <c r="F574" s="210">
        <f>SUM(F575:F613)</f>
        <v>36237751</v>
      </c>
    </row>
    <row r="575" spans="1:6" ht="17.100000000000001" customHeight="1">
      <c r="A575" s="575"/>
      <c r="B575" s="580"/>
      <c r="C575" s="551"/>
      <c r="D575" s="613" t="s">
        <v>389</v>
      </c>
      <c r="E575" s="532" t="s">
        <v>192</v>
      </c>
      <c r="F575" s="210">
        <v>51000</v>
      </c>
    </row>
    <row r="576" spans="1:6" ht="17.100000000000001" customHeight="1">
      <c r="A576" s="575"/>
      <c r="B576" s="580"/>
      <c r="C576" s="551"/>
      <c r="D576" s="226" t="s">
        <v>390</v>
      </c>
      <c r="E576" s="532" t="s">
        <v>192</v>
      </c>
      <c r="F576" s="210">
        <v>9000</v>
      </c>
    </row>
    <row r="577" spans="1:9" ht="17.100000000000001" customHeight="1">
      <c r="A577" s="575"/>
      <c r="B577" s="1277"/>
      <c r="C577" s="1278"/>
      <c r="D577" s="531" t="s">
        <v>391</v>
      </c>
      <c r="E577" s="532" t="s">
        <v>392</v>
      </c>
      <c r="F577" s="210">
        <v>17000</v>
      </c>
    </row>
    <row r="578" spans="1:9" ht="17.100000000000001" customHeight="1">
      <c r="A578" s="575"/>
      <c r="B578" s="580"/>
      <c r="C578" s="550"/>
      <c r="D578" s="578" t="s">
        <v>393</v>
      </c>
      <c r="E578" s="579" t="s">
        <v>392</v>
      </c>
      <c r="F578" s="210">
        <v>3000</v>
      </c>
    </row>
    <row r="579" spans="1:9" ht="17.100000000000001" customHeight="1">
      <c r="A579" s="575"/>
      <c r="B579" s="1277"/>
      <c r="C579" s="1278"/>
      <c r="D579" s="578" t="s">
        <v>214</v>
      </c>
      <c r="E579" s="579" t="s">
        <v>150</v>
      </c>
      <c r="F579" s="210">
        <v>18234513</v>
      </c>
    </row>
    <row r="580" spans="1:9" ht="17.100000000000001" customHeight="1">
      <c r="A580" s="575"/>
      <c r="B580" s="1277"/>
      <c r="C580" s="1278"/>
      <c r="D580" s="578" t="s">
        <v>215</v>
      </c>
      <c r="E580" s="579" t="s">
        <v>150</v>
      </c>
      <c r="F580" s="210">
        <v>3217856</v>
      </c>
    </row>
    <row r="581" spans="1:9" ht="17.100000000000001" customHeight="1">
      <c r="A581" s="575"/>
      <c r="B581" s="1277"/>
      <c r="C581" s="1278"/>
      <c r="D581" s="578" t="s">
        <v>216</v>
      </c>
      <c r="E581" s="579" t="s">
        <v>152</v>
      </c>
      <c r="F581" s="210">
        <v>992117</v>
      </c>
    </row>
    <row r="582" spans="1:9" ht="17.100000000000001" customHeight="1">
      <c r="A582" s="575"/>
      <c r="B582" s="1277"/>
      <c r="C582" s="1278"/>
      <c r="D582" s="578" t="s">
        <v>217</v>
      </c>
      <c r="E582" s="579" t="s">
        <v>152</v>
      </c>
      <c r="F582" s="210">
        <v>175080</v>
      </c>
    </row>
    <row r="583" spans="1:9" ht="17.100000000000001" customHeight="1">
      <c r="A583" s="575"/>
      <c r="B583" s="1277"/>
      <c r="C583" s="1278"/>
      <c r="D583" s="578" t="s">
        <v>218</v>
      </c>
      <c r="E583" s="579" t="s">
        <v>154</v>
      </c>
      <c r="F583" s="210">
        <f>3388356+4250</f>
        <v>3392606</v>
      </c>
      <c r="I583" s="201" t="s">
        <v>394</v>
      </c>
    </row>
    <row r="584" spans="1:9" ht="17.100000000000001" customHeight="1">
      <c r="A584" s="575"/>
      <c r="B584" s="1277"/>
      <c r="C584" s="1278"/>
      <c r="D584" s="578" t="s">
        <v>219</v>
      </c>
      <c r="E584" s="579" t="s">
        <v>154</v>
      </c>
      <c r="F584" s="210">
        <f>597946+750</f>
        <v>598696</v>
      </c>
      <c r="I584" s="201" t="s">
        <v>395</v>
      </c>
    </row>
    <row r="585" spans="1:9" ht="17.100000000000001" customHeight="1">
      <c r="A585" s="575"/>
      <c r="B585" s="1277"/>
      <c r="C585" s="1278"/>
      <c r="D585" s="578" t="s">
        <v>220</v>
      </c>
      <c r="E585" s="579" t="s">
        <v>156</v>
      </c>
      <c r="F585" s="210">
        <v>482952</v>
      </c>
    </row>
    <row r="586" spans="1:9" ht="17.100000000000001" customHeight="1">
      <c r="A586" s="575"/>
      <c r="B586" s="1277"/>
      <c r="C586" s="1278"/>
      <c r="D586" s="578" t="s">
        <v>221</v>
      </c>
      <c r="E586" s="579" t="s">
        <v>156</v>
      </c>
      <c r="F586" s="210">
        <v>85227</v>
      </c>
    </row>
    <row r="587" spans="1:9" ht="17.100000000000001" customHeight="1">
      <c r="A587" s="575"/>
      <c r="B587" s="1277"/>
      <c r="C587" s="1278"/>
      <c r="D587" s="578" t="s">
        <v>222</v>
      </c>
      <c r="E587" s="579" t="s">
        <v>158</v>
      </c>
      <c r="F587" s="210">
        <f>2650300+63750</f>
        <v>2714050</v>
      </c>
      <c r="I587" s="201" t="s">
        <v>396</v>
      </c>
    </row>
    <row r="588" spans="1:9" ht="17.100000000000001" customHeight="1">
      <c r="A588" s="575"/>
      <c r="B588" s="580"/>
      <c r="C588" s="550"/>
      <c r="D588" s="578" t="s">
        <v>223</v>
      </c>
      <c r="E588" s="579" t="s">
        <v>158</v>
      </c>
      <c r="F588" s="210">
        <f>467700+11250</f>
        <v>478950</v>
      </c>
      <c r="I588" s="201" t="s">
        <v>397</v>
      </c>
    </row>
    <row r="589" spans="1:9" ht="17.100000000000001" customHeight="1">
      <c r="A589" s="575"/>
      <c r="B589" s="1277"/>
      <c r="C589" s="1278"/>
      <c r="D589" s="578" t="s">
        <v>227</v>
      </c>
      <c r="E589" s="579" t="s">
        <v>163</v>
      </c>
      <c r="F589" s="210">
        <v>425000</v>
      </c>
    </row>
    <row r="590" spans="1:9" ht="17.100000000000001" customHeight="1">
      <c r="A590" s="575"/>
      <c r="B590" s="1277"/>
      <c r="C590" s="1278"/>
      <c r="D590" s="578" t="s">
        <v>228</v>
      </c>
      <c r="E590" s="579" t="s">
        <v>163</v>
      </c>
      <c r="F590" s="210">
        <v>75000</v>
      </c>
    </row>
    <row r="591" spans="1:9" ht="17.100000000000001" customHeight="1">
      <c r="A591" s="575"/>
      <c r="B591" s="1277"/>
      <c r="C591" s="1278"/>
      <c r="D591" s="578" t="s">
        <v>398</v>
      </c>
      <c r="E591" s="579" t="s">
        <v>165</v>
      </c>
      <c r="F591" s="210">
        <v>348500</v>
      </c>
    </row>
    <row r="592" spans="1:9" ht="17.100000000000001" customHeight="1">
      <c r="A592" s="575"/>
      <c r="B592" s="580"/>
      <c r="C592" s="550"/>
      <c r="D592" s="578" t="s">
        <v>399</v>
      </c>
      <c r="E592" s="579" t="s">
        <v>165</v>
      </c>
      <c r="F592" s="210">
        <v>61500</v>
      </c>
    </row>
    <row r="593" spans="1:10" ht="17.100000000000001" customHeight="1">
      <c r="A593" s="575"/>
      <c r="B593" s="580"/>
      <c r="C593" s="550"/>
      <c r="D593" s="578" t="s">
        <v>400</v>
      </c>
      <c r="E593" s="579" t="s">
        <v>169</v>
      </c>
      <c r="F593" s="210">
        <v>34000</v>
      </c>
    </row>
    <row r="594" spans="1:10" ht="17.100000000000001" customHeight="1">
      <c r="A594" s="575"/>
      <c r="B594" s="580"/>
      <c r="C594" s="550"/>
      <c r="D594" s="578" t="s">
        <v>401</v>
      </c>
      <c r="E594" s="579" t="s">
        <v>169</v>
      </c>
      <c r="F594" s="210">
        <v>6000</v>
      </c>
    </row>
    <row r="595" spans="1:10" ht="17.100000000000001" customHeight="1">
      <c r="A595" s="575"/>
      <c r="B595" s="1277"/>
      <c r="C595" s="1278"/>
      <c r="D595" s="578" t="s">
        <v>231</v>
      </c>
      <c r="E595" s="579" t="s">
        <v>171</v>
      </c>
      <c r="F595" s="210">
        <f>2299250+378678+50745</f>
        <v>2728673</v>
      </c>
      <c r="I595" s="201" t="s">
        <v>402</v>
      </c>
      <c r="J595" s="201" t="s">
        <v>403</v>
      </c>
    </row>
    <row r="596" spans="1:10" ht="17.100000000000001" customHeight="1">
      <c r="A596" s="575"/>
      <c r="B596" s="1277"/>
      <c r="C596" s="1278"/>
      <c r="D596" s="578" t="s">
        <v>232</v>
      </c>
      <c r="E596" s="579" t="s">
        <v>171</v>
      </c>
      <c r="F596" s="210">
        <f>405750+66826+8955</f>
        <v>481531</v>
      </c>
      <c r="I596" s="201" t="s">
        <v>404</v>
      </c>
      <c r="J596" s="201" t="s">
        <v>405</v>
      </c>
    </row>
    <row r="597" spans="1:10" ht="26.25" hidden="1" customHeight="1">
      <c r="A597" s="575"/>
      <c r="B597" s="1277"/>
      <c r="C597" s="1278"/>
      <c r="D597" s="578" t="s">
        <v>270</v>
      </c>
      <c r="E597" s="579" t="s">
        <v>199</v>
      </c>
      <c r="F597" s="210"/>
    </row>
    <row r="598" spans="1:10" ht="16.5" customHeight="1">
      <c r="A598" s="575"/>
      <c r="B598" s="580"/>
      <c r="C598" s="550"/>
      <c r="D598" s="578" t="s">
        <v>406</v>
      </c>
      <c r="E598" s="579" t="s">
        <v>371</v>
      </c>
      <c r="F598" s="210">
        <f>6035+4675</f>
        <v>10710</v>
      </c>
      <c r="I598" s="201" t="s">
        <v>407</v>
      </c>
    </row>
    <row r="599" spans="1:10" ht="16.5" customHeight="1">
      <c r="A599" s="575"/>
      <c r="B599" s="580"/>
      <c r="C599" s="550"/>
      <c r="D599" s="578" t="s">
        <v>408</v>
      </c>
      <c r="E599" s="579" t="s">
        <v>371</v>
      </c>
      <c r="F599" s="210">
        <f>1065+825</f>
        <v>1890</v>
      </c>
      <c r="I599" s="201" t="s">
        <v>409</v>
      </c>
    </row>
    <row r="600" spans="1:10" ht="17.100000000000001" customHeight="1">
      <c r="A600" s="575"/>
      <c r="B600" s="1277"/>
      <c r="C600" s="1278"/>
      <c r="D600" s="578" t="s">
        <v>410</v>
      </c>
      <c r="E600" s="579" t="s">
        <v>258</v>
      </c>
      <c r="F600" s="210">
        <f>580465+42500+144500</f>
        <v>767465</v>
      </c>
      <c r="I600" s="201" t="s">
        <v>411</v>
      </c>
      <c r="J600" s="201" t="s">
        <v>412</v>
      </c>
    </row>
    <row r="601" spans="1:10" ht="16.5" customHeight="1">
      <c r="A601" s="575"/>
      <c r="B601" s="580"/>
      <c r="C601" s="550"/>
      <c r="D601" s="578" t="s">
        <v>298</v>
      </c>
      <c r="E601" s="579" t="s">
        <v>258</v>
      </c>
      <c r="F601" s="210">
        <f>102435+7500+25500</f>
        <v>135435</v>
      </c>
      <c r="I601" s="201" t="s">
        <v>413</v>
      </c>
      <c r="J601" s="201" t="s">
        <v>414</v>
      </c>
    </row>
    <row r="602" spans="1:10" ht="16.5" hidden="1" customHeight="1">
      <c r="A602" s="575"/>
      <c r="B602" s="1277"/>
      <c r="C602" s="1278"/>
      <c r="D602" s="578" t="s">
        <v>415</v>
      </c>
      <c r="E602" s="579" t="s">
        <v>175</v>
      </c>
      <c r="F602" s="210">
        <v>0</v>
      </c>
    </row>
    <row r="603" spans="1:10" ht="20.100000000000001" hidden="1" customHeight="1">
      <c r="A603" s="575"/>
      <c r="B603" s="1277"/>
      <c r="C603" s="1278"/>
      <c r="D603" s="578" t="s">
        <v>416</v>
      </c>
      <c r="E603" s="579" t="s">
        <v>175</v>
      </c>
      <c r="F603" s="210">
        <v>0</v>
      </c>
    </row>
    <row r="604" spans="1:10" ht="17.100000000000001" customHeight="1">
      <c r="A604" s="575"/>
      <c r="B604" s="1277"/>
      <c r="C604" s="1278"/>
      <c r="D604" s="578" t="s">
        <v>233</v>
      </c>
      <c r="E604" s="579" t="s">
        <v>177</v>
      </c>
      <c r="F604" s="210">
        <f>144500+8500</f>
        <v>153000</v>
      </c>
      <c r="I604" s="201" t="s">
        <v>417</v>
      </c>
    </row>
    <row r="605" spans="1:10" ht="17.100000000000001" customHeight="1">
      <c r="A605" s="575"/>
      <c r="B605" s="1277"/>
      <c r="C605" s="1278"/>
      <c r="D605" s="578" t="s">
        <v>234</v>
      </c>
      <c r="E605" s="579" t="s">
        <v>177</v>
      </c>
      <c r="F605" s="210">
        <f>25500+1500</f>
        <v>27000</v>
      </c>
      <c r="I605" s="201" t="s">
        <v>418</v>
      </c>
    </row>
    <row r="606" spans="1:10" ht="17.100000000000001" customHeight="1">
      <c r="A606" s="575"/>
      <c r="B606" s="1277"/>
      <c r="C606" s="1278"/>
      <c r="D606" s="578" t="s">
        <v>419</v>
      </c>
      <c r="E606" s="579" t="s">
        <v>315</v>
      </c>
      <c r="F606" s="210">
        <v>68000</v>
      </c>
    </row>
    <row r="607" spans="1:10" ht="17.100000000000001" customHeight="1">
      <c r="A607" s="575"/>
      <c r="B607" s="580"/>
      <c r="C607" s="550"/>
      <c r="D607" s="578" t="s">
        <v>341</v>
      </c>
      <c r="E607" s="579" t="s">
        <v>315</v>
      </c>
      <c r="F607" s="210">
        <v>12000</v>
      </c>
    </row>
    <row r="608" spans="1:10" ht="17.100000000000001" customHeight="1">
      <c r="A608" s="575"/>
      <c r="B608" s="580"/>
      <c r="C608" s="550"/>
      <c r="D608" s="578" t="s">
        <v>420</v>
      </c>
      <c r="E608" s="579" t="s">
        <v>187</v>
      </c>
      <c r="F608" s="210">
        <v>34000</v>
      </c>
    </row>
    <row r="609" spans="1:9" ht="17.100000000000001" customHeight="1">
      <c r="A609" s="575"/>
      <c r="B609" s="580"/>
      <c r="C609" s="550"/>
      <c r="D609" s="578" t="s">
        <v>421</v>
      </c>
      <c r="E609" s="579" t="s">
        <v>187</v>
      </c>
      <c r="F609" s="210">
        <v>6000</v>
      </c>
    </row>
    <row r="610" spans="1:9" ht="17.100000000000001" customHeight="1">
      <c r="A610" s="575"/>
      <c r="B610" s="580"/>
      <c r="C610" s="550"/>
      <c r="D610" s="578" t="s">
        <v>422</v>
      </c>
      <c r="E610" s="579" t="s">
        <v>196</v>
      </c>
      <c r="F610" s="210">
        <v>68000</v>
      </c>
    </row>
    <row r="611" spans="1:9" ht="17.100000000000001" customHeight="1">
      <c r="A611" s="575"/>
      <c r="B611" s="580"/>
      <c r="C611" s="550"/>
      <c r="D611" s="578" t="s">
        <v>423</v>
      </c>
      <c r="E611" s="579" t="s">
        <v>196</v>
      </c>
      <c r="F611" s="210">
        <v>12000</v>
      </c>
    </row>
    <row r="612" spans="1:9" ht="17.100000000000001" customHeight="1">
      <c r="A612" s="575"/>
      <c r="B612" s="1277"/>
      <c r="C612" s="1278"/>
      <c r="D612" s="578" t="s">
        <v>237</v>
      </c>
      <c r="E612" s="579" t="s">
        <v>189</v>
      </c>
      <c r="F612" s="210">
        <f>272000+8500</f>
        <v>280500</v>
      </c>
      <c r="I612" s="201" t="s">
        <v>417</v>
      </c>
    </row>
    <row r="613" spans="1:9" ht="17.100000000000001" customHeight="1">
      <c r="A613" s="575"/>
      <c r="B613" s="1277"/>
      <c r="C613" s="1278"/>
      <c r="D613" s="578" t="s">
        <v>238</v>
      </c>
      <c r="E613" s="579" t="s">
        <v>189</v>
      </c>
      <c r="F613" s="210">
        <f>48000+1500</f>
        <v>49500</v>
      </c>
      <c r="I613" s="201" t="s">
        <v>418</v>
      </c>
    </row>
    <row r="614" spans="1:9" ht="17.100000000000001" customHeight="1">
      <c r="A614" s="575"/>
      <c r="B614" s="580"/>
      <c r="C614" s="550"/>
      <c r="D614" s="1277"/>
      <c r="E614" s="1281"/>
      <c r="F614" s="1282"/>
    </row>
    <row r="615" spans="1:9" ht="17.100000000000001" customHeight="1">
      <c r="A615" s="575"/>
      <c r="B615" s="580"/>
      <c r="C615" s="550"/>
      <c r="D615" s="1312" t="s">
        <v>202</v>
      </c>
      <c r="E615" s="1313"/>
      <c r="F615" s="207">
        <f>F616</f>
        <v>3900000</v>
      </c>
    </row>
    <row r="616" spans="1:9" ht="17.100000000000001" customHeight="1">
      <c r="A616" s="575"/>
      <c r="B616" s="580"/>
      <c r="C616" s="550"/>
      <c r="D616" s="1285" t="s">
        <v>272</v>
      </c>
      <c r="E616" s="1286"/>
      <c r="F616" s="210">
        <f>SUM(F617:F621)</f>
        <v>3900000</v>
      </c>
    </row>
    <row r="617" spans="1:9" ht="17.100000000000001" customHeight="1">
      <c r="A617" s="575"/>
      <c r="B617" s="1277"/>
      <c r="C617" s="1278"/>
      <c r="D617" s="578" t="s">
        <v>204</v>
      </c>
      <c r="E617" s="579" t="s">
        <v>205</v>
      </c>
      <c r="F617" s="210">
        <v>250000</v>
      </c>
    </row>
    <row r="618" spans="1:9" ht="17.100000000000001" hidden="1" customHeight="1">
      <c r="A618" s="575"/>
      <c r="B618" s="580"/>
      <c r="C618" s="550"/>
      <c r="D618" s="578" t="s">
        <v>253</v>
      </c>
      <c r="E618" s="579" t="s">
        <v>205</v>
      </c>
      <c r="F618" s="210"/>
      <c r="G618" s="213"/>
    </row>
    <row r="619" spans="1:9" ht="17.100000000000001" customHeight="1">
      <c r="A619" s="575"/>
      <c r="B619" s="1277"/>
      <c r="C619" s="1278"/>
      <c r="D619" s="578" t="s">
        <v>245</v>
      </c>
      <c r="E619" s="579" t="s">
        <v>246</v>
      </c>
      <c r="F619" s="210">
        <v>2750000</v>
      </c>
    </row>
    <row r="620" spans="1:9" ht="17.100000000000001" customHeight="1">
      <c r="A620" s="575"/>
      <c r="B620" s="1277"/>
      <c r="C620" s="1278"/>
      <c r="D620" s="578" t="s">
        <v>273</v>
      </c>
      <c r="E620" s="579" t="s">
        <v>246</v>
      </c>
      <c r="F620" s="210">
        <v>765000</v>
      </c>
    </row>
    <row r="621" spans="1:9" ht="17.100000000000001" customHeight="1">
      <c r="A621" s="575"/>
      <c r="B621" s="1277"/>
      <c r="C621" s="1278"/>
      <c r="D621" s="578" t="s">
        <v>274</v>
      </c>
      <c r="E621" s="579" t="s">
        <v>246</v>
      </c>
      <c r="F621" s="210">
        <v>135000</v>
      </c>
    </row>
    <row r="622" spans="1:9" ht="17.100000000000001" customHeight="1">
      <c r="A622" s="575"/>
      <c r="B622" s="1289"/>
      <c r="C622" s="1344"/>
      <c r="D622" s="1277"/>
      <c r="E622" s="1291"/>
      <c r="F622" s="1292"/>
    </row>
    <row r="623" spans="1:9" ht="17.100000000000001" customHeight="1">
      <c r="A623" s="575"/>
      <c r="B623" s="1289"/>
      <c r="C623" s="1344"/>
      <c r="D623" s="1279" t="s">
        <v>206</v>
      </c>
      <c r="E623" s="1311"/>
      <c r="F623" s="210">
        <f>F624+F625</f>
        <v>900000</v>
      </c>
    </row>
    <row r="624" spans="1:9" ht="17.100000000000001" customHeight="1">
      <c r="A624" s="575"/>
      <c r="B624" s="1289"/>
      <c r="C624" s="1344"/>
      <c r="D624" s="614" t="s">
        <v>273</v>
      </c>
      <c r="E624" s="588" t="s">
        <v>246</v>
      </c>
      <c r="F624" s="210">
        <v>765000</v>
      </c>
    </row>
    <row r="625" spans="1:6" ht="17.100000000000001" customHeight="1">
      <c r="A625" s="575"/>
      <c r="B625" s="1345"/>
      <c r="C625" s="1346"/>
      <c r="D625" s="578" t="s">
        <v>274</v>
      </c>
      <c r="E625" s="579" t="s">
        <v>246</v>
      </c>
      <c r="F625" s="210">
        <v>135000</v>
      </c>
    </row>
    <row r="626" spans="1:6" ht="17.100000000000001" customHeight="1">
      <c r="A626" s="575"/>
      <c r="B626" s="1265" t="s">
        <v>424</v>
      </c>
      <c r="C626" s="1266"/>
      <c r="D626" s="576"/>
      <c r="E626" s="577" t="s">
        <v>425</v>
      </c>
      <c r="F626" s="206">
        <f>F627</f>
        <v>20000</v>
      </c>
    </row>
    <row r="627" spans="1:6" ht="17.100000000000001" customHeight="1">
      <c r="A627" s="575"/>
      <c r="B627" s="1267"/>
      <c r="C627" s="1268"/>
      <c r="D627" s="1271" t="s">
        <v>383</v>
      </c>
      <c r="E627" s="1272"/>
      <c r="F627" s="207">
        <f>F628</f>
        <v>20000</v>
      </c>
    </row>
    <row r="628" spans="1:6" ht="17.100000000000001" customHeight="1">
      <c r="A628" s="575"/>
      <c r="B628" s="1269"/>
      <c r="C628" s="1270"/>
      <c r="D628" s="1273" t="s">
        <v>147</v>
      </c>
      <c r="E628" s="1283"/>
      <c r="F628" s="210">
        <f>F629+F634</f>
        <v>20000</v>
      </c>
    </row>
    <row r="629" spans="1:6" ht="17.100000000000001" customHeight="1">
      <c r="A629" s="575"/>
      <c r="B629" s="1269"/>
      <c r="C629" s="1270"/>
      <c r="D629" s="1275" t="s">
        <v>148</v>
      </c>
      <c r="E629" s="1284"/>
      <c r="F629" s="210">
        <f>SUM(F630:F632)</f>
        <v>10000</v>
      </c>
    </row>
    <row r="630" spans="1:6" ht="17.100000000000001" customHeight="1">
      <c r="A630" s="575"/>
      <c r="B630" s="1269"/>
      <c r="C630" s="1270"/>
      <c r="D630" s="578" t="s">
        <v>153</v>
      </c>
      <c r="E630" s="579" t="s">
        <v>154</v>
      </c>
      <c r="F630" s="210">
        <f>700</f>
        <v>700</v>
      </c>
    </row>
    <row r="631" spans="1:6" ht="17.100000000000001" customHeight="1">
      <c r="A631" s="575"/>
      <c r="B631" s="1269"/>
      <c r="C631" s="1270"/>
      <c r="D631" s="578" t="s">
        <v>155</v>
      </c>
      <c r="E631" s="579" t="s">
        <v>156</v>
      </c>
      <c r="F631" s="210">
        <v>140</v>
      </c>
    </row>
    <row r="632" spans="1:6" ht="17.100000000000001" customHeight="1">
      <c r="A632" s="575"/>
      <c r="B632" s="1277"/>
      <c r="C632" s="1278"/>
      <c r="D632" s="578" t="s">
        <v>157</v>
      </c>
      <c r="E632" s="579" t="s">
        <v>158</v>
      </c>
      <c r="F632" s="210">
        <v>9160</v>
      </c>
    </row>
    <row r="633" spans="1:6" ht="17.100000000000001" customHeight="1">
      <c r="A633" s="575"/>
      <c r="B633" s="580"/>
      <c r="C633" s="550"/>
      <c r="D633" s="1277"/>
      <c r="E633" s="1281"/>
      <c r="F633" s="1282"/>
    </row>
    <row r="634" spans="1:6" ht="17.100000000000001" customHeight="1">
      <c r="A634" s="575"/>
      <c r="B634" s="580"/>
      <c r="C634" s="550"/>
      <c r="D634" s="1279" t="s">
        <v>159</v>
      </c>
      <c r="E634" s="1280"/>
      <c r="F634" s="210">
        <f>SUM(F635:F636)</f>
        <v>10000</v>
      </c>
    </row>
    <row r="635" spans="1:6" ht="17.100000000000001" customHeight="1">
      <c r="A635" s="575"/>
      <c r="B635" s="1277"/>
      <c r="C635" s="1278"/>
      <c r="D635" s="578" t="s">
        <v>162</v>
      </c>
      <c r="E635" s="579" t="s">
        <v>163</v>
      </c>
      <c r="F635" s="210">
        <f>1500</f>
        <v>1500</v>
      </c>
    </row>
    <row r="636" spans="1:6" ht="17.100000000000001" customHeight="1">
      <c r="A636" s="575"/>
      <c r="B636" s="1303"/>
      <c r="C636" s="1320"/>
      <c r="D636" s="578" t="s">
        <v>170</v>
      </c>
      <c r="E636" s="579" t="s">
        <v>171</v>
      </c>
      <c r="F636" s="210">
        <f>8500</f>
        <v>8500</v>
      </c>
    </row>
    <row r="637" spans="1:6" ht="17.100000000000001" hidden="1" customHeight="1">
      <c r="A637" s="575"/>
      <c r="B637" s="1265" t="s">
        <v>426</v>
      </c>
      <c r="C637" s="1266"/>
      <c r="D637" s="576"/>
      <c r="E637" s="577" t="s">
        <v>427</v>
      </c>
      <c r="F637" s="206">
        <f>F638</f>
        <v>0</v>
      </c>
    </row>
    <row r="638" spans="1:6" ht="17.100000000000001" hidden="1" customHeight="1">
      <c r="A638" s="575"/>
      <c r="B638" s="1269"/>
      <c r="C638" s="1270"/>
      <c r="D638" s="1271" t="s">
        <v>146</v>
      </c>
      <c r="E638" s="1272"/>
      <c r="F638" s="207">
        <f>F639</f>
        <v>0</v>
      </c>
    </row>
    <row r="639" spans="1:6" ht="17.100000000000001" hidden="1" customHeight="1">
      <c r="A639" s="575"/>
      <c r="B639" s="1269"/>
      <c r="C639" s="1270"/>
      <c r="D639" s="1273" t="s">
        <v>213</v>
      </c>
      <c r="E639" s="1283"/>
      <c r="F639" s="210">
        <f>SUM(F640:F667)</f>
        <v>0</v>
      </c>
    </row>
    <row r="640" spans="1:6" ht="17.100000000000001" hidden="1" customHeight="1">
      <c r="A640" s="575"/>
      <c r="B640" s="1269"/>
      <c r="C640" s="1270"/>
      <c r="D640" s="578" t="s">
        <v>335</v>
      </c>
      <c r="E640" s="579" t="s">
        <v>150</v>
      </c>
      <c r="F640" s="210"/>
    </row>
    <row r="641" spans="1:6" ht="17.100000000000001" hidden="1" customHeight="1">
      <c r="A641" s="575"/>
      <c r="B641" s="1269"/>
      <c r="C641" s="1270"/>
      <c r="D641" s="578" t="s">
        <v>215</v>
      </c>
      <c r="E641" s="579" t="s">
        <v>150</v>
      </c>
      <c r="F641" s="210"/>
    </row>
    <row r="642" spans="1:6" ht="17.100000000000001" hidden="1" customHeight="1">
      <c r="A642" s="575"/>
      <c r="B642" s="1277"/>
      <c r="C642" s="1278"/>
      <c r="D642" s="578" t="s">
        <v>428</v>
      </c>
      <c r="E642" s="579" t="s">
        <v>152</v>
      </c>
      <c r="F642" s="210">
        <v>0</v>
      </c>
    </row>
    <row r="643" spans="1:6" ht="17.100000000000001" hidden="1" customHeight="1">
      <c r="A643" s="575"/>
      <c r="B643" s="1277"/>
      <c r="C643" s="1278"/>
      <c r="D643" s="578" t="s">
        <v>217</v>
      </c>
      <c r="E643" s="579" t="s">
        <v>152</v>
      </c>
      <c r="F643" s="210">
        <v>0</v>
      </c>
    </row>
    <row r="644" spans="1:6" ht="17.100000000000001" hidden="1" customHeight="1">
      <c r="A644" s="575"/>
      <c r="B644" s="1277"/>
      <c r="C644" s="1278"/>
      <c r="D644" s="578" t="s">
        <v>336</v>
      </c>
      <c r="E644" s="579" t="s">
        <v>154</v>
      </c>
      <c r="F644" s="210">
        <v>0</v>
      </c>
    </row>
    <row r="645" spans="1:6" ht="17.100000000000001" hidden="1" customHeight="1">
      <c r="A645" s="575"/>
      <c r="B645" s="1277"/>
      <c r="C645" s="1278"/>
      <c r="D645" s="578" t="s">
        <v>219</v>
      </c>
      <c r="E645" s="579" t="s">
        <v>154</v>
      </c>
      <c r="F645" s="210">
        <v>0</v>
      </c>
    </row>
    <row r="646" spans="1:6" ht="17.100000000000001" hidden="1" customHeight="1">
      <c r="A646" s="575"/>
      <c r="B646" s="1277"/>
      <c r="C646" s="1278"/>
      <c r="D646" s="578" t="s">
        <v>337</v>
      </c>
      <c r="E646" s="579" t="s">
        <v>156</v>
      </c>
      <c r="F646" s="210">
        <v>0</v>
      </c>
    </row>
    <row r="647" spans="1:6" ht="17.100000000000001" hidden="1" customHeight="1">
      <c r="A647" s="575"/>
      <c r="B647" s="1277"/>
      <c r="C647" s="1278"/>
      <c r="D647" s="578" t="s">
        <v>221</v>
      </c>
      <c r="E647" s="579" t="s">
        <v>156</v>
      </c>
      <c r="F647" s="210">
        <v>0</v>
      </c>
    </row>
    <row r="648" spans="1:6" ht="17.100000000000001" hidden="1" customHeight="1">
      <c r="A648" s="575"/>
      <c r="B648" s="1277"/>
      <c r="C648" s="1278"/>
      <c r="D648" s="578" t="s">
        <v>368</v>
      </c>
      <c r="E648" s="579" t="s">
        <v>158</v>
      </c>
      <c r="F648" s="210"/>
    </row>
    <row r="649" spans="1:6" ht="17.100000000000001" hidden="1" customHeight="1">
      <c r="A649" s="575"/>
      <c r="B649" s="1277"/>
      <c r="C649" s="1278"/>
      <c r="D649" s="578" t="s">
        <v>223</v>
      </c>
      <c r="E649" s="579" t="s">
        <v>158</v>
      </c>
      <c r="F649" s="210"/>
    </row>
    <row r="650" spans="1:6" ht="17.100000000000001" hidden="1" customHeight="1">
      <c r="A650" s="575"/>
      <c r="B650" s="1277"/>
      <c r="C650" s="1278"/>
      <c r="D650" s="578" t="s">
        <v>369</v>
      </c>
      <c r="E650" s="579" t="s">
        <v>163</v>
      </c>
      <c r="F650" s="210"/>
    </row>
    <row r="651" spans="1:6" ht="17.100000000000001" hidden="1" customHeight="1">
      <c r="A651" s="575"/>
      <c r="B651" s="1277"/>
      <c r="C651" s="1278"/>
      <c r="D651" s="578" t="s">
        <v>228</v>
      </c>
      <c r="E651" s="579" t="s">
        <v>163</v>
      </c>
      <c r="F651" s="210"/>
    </row>
    <row r="652" spans="1:6" ht="17.100000000000001" hidden="1" customHeight="1">
      <c r="A652" s="575"/>
      <c r="B652" s="1277"/>
      <c r="C652" s="1278"/>
      <c r="D652" s="578" t="s">
        <v>429</v>
      </c>
      <c r="E652" s="579" t="s">
        <v>165</v>
      </c>
      <c r="F652" s="210"/>
    </row>
    <row r="653" spans="1:6" ht="17.100000000000001" hidden="1" customHeight="1">
      <c r="A653" s="575"/>
      <c r="B653" s="1277"/>
      <c r="C653" s="1278"/>
      <c r="D653" s="578" t="s">
        <v>399</v>
      </c>
      <c r="E653" s="579" t="s">
        <v>165</v>
      </c>
      <c r="F653" s="210"/>
    </row>
    <row r="654" spans="1:6" ht="17.100000000000001" hidden="1" customHeight="1">
      <c r="A654" s="575"/>
      <c r="B654" s="1277"/>
      <c r="C654" s="1278"/>
      <c r="D654" s="578" t="s">
        <v>338</v>
      </c>
      <c r="E654" s="579" t="s">
        <v>171</v>
      </c>
      <c r="F654" s="210"/>
    </row>
    <row r="655" spans="1:6" ht="17.100000000000001" hidden="1" customHeight="1">
      <c r="A655" s="575"/>
      <c r="B655" s="1277"/>
      <c r="C655" s="1278"/>
      <c r="D655" s="578" t="s">
        <v>232</v>
      </c>
      <c r="E655" s="579" t="s">
        <v>171</v>
      </c>
      <c r="F655" s="210"/>
    </row>
    <row r="656" spans="1:6" ht="17.100000000000001" hidden="1" customHeight="1">
      <c r="A656" s="575"/>
      <c r="B656" s="1277"/>
      <c r="C656" s="1278"/>
      <c r="D656" s="578" t="s">
        <v>430</v>
      </c>
      <c r="E656" s="579" t="s">
        <v>267</v>
      </c>
      <c r="F656" s="210"/>
    </row>
    <row r="657" spans="1:9" ht="17.100000000000001" hidden="1" customHeight="1">
      <c r="A657" s="575"/>
      <c r="B657" s="1277"/>
      <c r="C657" s="1278"/>
      <c r="D657" s="578" t="s">
        <v>269</v>
      </c>
      <c r="E657" s="579" t="s">
        <v>267</v>
      </c>
      <c r="F657" s="210"/>
    </row>
    <row r="658" spans="1:9" ht="24.75" hidden="1" customHeight="1">
      <c r="A658" s="575"/>
      <c r="B658" s="1277"/>
      <c r="C658" s="1278"/>
      <c r="D658" s="578" t="s">
        <v>431</v>
      </c>
      <c r="E658" s="579" t="s">
        <v>376</v>
      </c>
      <c r="F658" s="210"/>
    </row>
    <row r="659" spans="1:9" ht="24.75" hidden="1" customHeight="1">
      <c r="A659" s="575"/>
      <c r="B659" s="1277"/>
      <c r="C659" s="1278"/>
      <c r="D659" s="578" t="s">
        <v>432</v>
      </c>
      <c r="E659" s="579" t="s">
        <v>376</v>
      </c>
      <c r="F659" s="210"/>
    </row>
    <row r="660" spans="1:9" ht="17.100000000000001" hidden="1" customHeight="1">
      <c r="A660" s="575"/>
      <c r="B660" s="1277"/>
      <c r="C660" s="1278"/>
      <c r="D660" s="578" t="s">
        <v>297</v>
      </c>
      <c r="E660" s="579" t="s">
        <v>258</v>
      </c>
      <c r="F660" s="210"/>
    </row>
    <row r="661" spans="1:9" ht="17.100000000000001" hidden="1" customHeight="1">
      <c r="A661" s="575"/>
      <c r="B661" s="1277"/>
      <c r="C661" s="1278"/>
      <c r="D661" s="578" t="s">
        <v>298</v>
      </c>
      <c r="E661" s="579" t="s">
        <v>258</v>
      </c>
      <c r="F661" s="210"/>
    </row>
    <row r="662" spans="1:9" ht="20.25" hidden="1" customHeight="1">
      <c r="A662" s="575"/>
      <c r="B662" s="1277"/>
      <c r="C662" s="1278"/>
      <c r="D662" s="578" t="s">
        <v>433</v>
      </c>
      <c r="E662" s="579" t="s">
        <v>175</v>
      </c>
      <c r="F662" s="210"/>
    </row>
    <row r="663" spans="1:9" ht="16.5" hidden="1" customHeight="1">
      <c r="A663" s="575"/>
      <c r="B663" s="1277"/>
      <c r="C663" s="1278"/>
      <c r="D663" s="578" t="s">
        <v>416</v>
      </c>
      <c r="E663" s="579" t="s">
        <v>175</v>
      </c>
      <c r="F663" s="210"/>
    </row>
    <row r="664" spans="1:9" ht="17.100000000000001" hidden="1" customHeight="1">
      <c r="A664" s="575"/>
      <c r="B664" s="1277"/>
      <c r="C664" s="1278"/>
      <c r="D664" s="578" t="s">
        <v>339</v>
      </c>
      <c r="E664" s="579" t="s">
        <v>177</v>
      </c>
      <c r="F664" s="210"/>
    </row>
    <row r="665" spans="1:9" ht="17.100000000000001" hidden="1" customHeight="1">
      <c r="A665" s="575"/>
      <c r="B665" s="1277"/>
      <c r="C665" s="1278"/>
      <c r="D665" s="578" t="s">
        <v>234</v>
      </c>
      <c r="E665" s="579" t="s">
        <v>177</v>
      </c>
      <c r="F665" s="210"/>
    </row>
    <row r="666" spans="1:9" ht="17.100000000000001" hidden="1" customHeight="1">
      <c r="A666" s="575"/>
      <c r="B666" s="1277"/>
      <c r="C666" s="1278"/>
      <c r="D666" s="578" t="s">
        <v>434</v>
      </c>
      <c r="E666" s="579" t="s">
        <v>181</v>
      </c>
      <c r="F666" s="210"/>
    </row>
    <row r="667" spans="1:9" ht="17.100000000000001" hidden="1" customHeight="1">
      <c r="A667" s="575"/>
      <c r="B667" s="1303"/>
      <c r="C667" s="1320"/>
      <c r="D667" s="578" t="s">
        <v>435</v>
      </c>
      <c r="E667" s="579" t="s">
        <v>181</v>
      </c>
      <c r="F667" s="210"/>
    </row>
    <row r="668" spans="1:9" ht="17.100000000000001" customHeight="1">
      <c r="A668" s="575"/>
      <c r="B668" s="1265" t="s">
        <v>3</v>
      </c>
      <c r="C668" s="1266"/>
      <c r="D668" s="576"/>
      <c r="E668" s="577" t="s">
        <v>6</v>
      </c>
      <c r="F668" s="206">
        <f>F669+F687</f>
        <v>10710603</v>
      </c>
    </row>
    <row r="669" spans="1:9" ht="17.100000000000001" customHeight="1">
      <c r="A669" s="575"/>
      <c r="B669" s="1277"/>
      <c r="C669" s="1278"/>
      <c r="D669" s="1271" t="s">
        <v>146</v>
      </c>
      <c r="E669" s="1272"/>
      <c r="F669" s="207">
        <f>F670+F681+F684</f>
        <v>10610603</v>
      </c>
    </row>
    <row r="670" spans="1:9" ht="17.100000000000001" customHeight="1">
      <c r="A670" s="575"/>
      <c r="B670" s="1277"/>
      <c r="C670" s="1278"/>
      <c r="D670" s="1273" t="s">
        <v>147</v>
      </c>
      <c r="E670" s="1283"/>
      <c r="F670" s="210">
        <f>F671+F674</f>
        <v>10310603</v>
      </c>
    </row>
    <row r="671" spans="1:9" ht="17.100000000000001" customHeight="1">
      <c r="A671" s="575"/>
      <c r="B671" s="1277"/>
      <c r="C671" s="1278"/>
      <c r="D671" s="1275" t="s">
        <v>148</v>
      </c>
      <c r="E671" s="1284"/>
      <c r="F671" s="210">
        <f>F672</f>
        <v>18000</v>
      </c>
    </row>
    <row r="672" spans="1:9" ht="17.100000000000001" customHeight="1">
      <c r="A672" s="575"/>
      <c r="B672" s="1277"/>
      <c r="C672" s="1278"/>
      <c r="D672" s="578" t="s">
        <v>157</v>
      </c>
      <c r="E672" s="579" t="s">
        <v>158</v>
      </c>
      <c r="F672" s="210">
        <f>3000+15000</f>
        <v>18000</v>
      </c>
      <c r="H672" s="201" t="s">
        <v>436</v>
      </c>
      <c r="I672" s="201" t="s">
        <v>437</v>
      </c>
    </row>
    <row r="673" spans="1:12" ht="17.100000000000001" customHeight="1">
      <c r="A673" s="575"/>
      <c r="B673" s="1277"/>
      <c r="C673" s="1278"/>
      <c r="D673" s="1277"/>
      <c r="E673" s="1281"/>
      <c r="F673" s="1282"/>
    </row>
    <row r="674" spans="1:12" ht="17.100000000000001" customHeight="1">
      <c r="A674" s="575"/>
      <c r="B674" s="1277"/>
      <c r="C674" s="1278"/>
      <c r="D674" s="1293" t="s">
        <v>159</v>
      </c>
      <c r="E674" s="1280"/>
      <c r="F674" s="210">
        <f>SUM(F675:F679)</f>
        <v>10292603</v>
      </c>
    </row>
    <row r="675" spans="1:12" ht="17.100000000000001" customHeight="1">
      <c r="A675" s="575"/>
      <c r="B675" s="1277"/>
      <c r="C675" s="1281"/>
      <c r="D675" s="211" t="s">
        <v>438</v>
      </c>
      <c r="E675" s="582" t="s">
        <v>225</v>
      </c>
      <c r="F675" s="210">
        <f>5000+30000</f>
        <v>35000</v>
      </c>
      <c r="H675" s="201" t="s">
        <v>439</v>
      </c>
      <c r="I675" s="201" t="s">
        <v>440</v>
      </c>
    </row>
    <row r="676" spans="1:12" ht="17.100000000000001" customHeight="1">
      <c r="A676" s="575"/>
      <c r="B676" s="1277"/>
      <c r="C676" s="1278"/>
      <c r="D676" s="531" t="s">
        <v>162</v>
      </c>
      <c r="E676" s="579" t="s">
        <v>163</v>
      </c>
      <c r="F676" s="210">
        <f>5000+25000+100000</f>
        <v>130000</v>
      </c>
      <c r="H676" s="201" t="s">
        <v>441</v>
      </c>
      <c r="I676" s="201" t="s">
        <v>442</v>
      </c>
      <c r="J676" s="201" t="s">
        <v>443</v>
      </c>
    </row>
    <row r="677" spans="1:12" ht="17.100000000000001" customHeight="1">
      <c r="A677" s="575"/>
      <c r="B677" s="1277"/>
      <c r="C677" s="1278"/>
      <c r="D677" s="578" t="s">
        <v>170</v>
      </c>
      <c r="E677" s="579" t="s">
        <v>171</v>
      </c>
      <c r="F677" s="210">
        <f>5000+45000+390500+9542103+100000</f>
        <v>10082603</v>
      </c>
      <c r="H677" s="201" t="s">
        <v>441</v>
      </c>
      <c r="I677" s="201" t="s">
        <v>444</v>
      </c>
      <c r="J677" s="201" t="s">
        <v>445</v>
      </c>
      <c r="K677" s="201" t="s">
        <v>446</v>
      </c>
      <c r="L677" s="201" t="s">
        <v>447</v>
      </c>
    </row>
    <row r="678" spans="1:12" ht="17.100000000000001" customHeight="1">
      <c r="A678" s="575"/>
      <c r="B678" s="1277"/>
      <c r="C678" s="1278"/>
      <c r="D678" s="578" t="s">
        <v>388</v>
      </c>
      <c r="E678" s="579" t="s">
        <v>371</v>
      </c>
      <c r="F678" s="210">
        <f>20000+5000</f>
        <v>25000</v>
      </c>
      <c r="H678" s="201" t="s">
        <v>448</v>
      </c>
      <c r="I678" s="201" t="s">
        <v>449</v>
      </c>
    </row>
    <row r="679" spans="1:12" ht="17.100000000000001" customHeight="1">
      <c r="A679" s="575"/>
      <c r="B679" s="1277"/>
      <c r="C679" s="1278"/>
      <c r="D679" s="531" t="s">
        <v>257</v>
      </c>
      <c r="E679" s="532" t="s">
        <v>258</v>
      </c>
      <c r="F679" s="615">
        <v>20000</v>
      </c>
    </row>
    <row r="680" spans="1:12" ht="17.100000000000001" customHeight="1">
      <c r="A680" s="575"/>
      <c r="B680" s="1277"/>
      <c r="C680" s="1278"/>
      <c r="D680" s="1277"/>
      <c r="E680" s="1281"/>
      <c r="F680" s="1282"/>
    </row>
    <row r="681" spans="1:12" ht="17.100000000000001" customHeight="1">
      <c r="A681" s="575"/>
      <c r="B681" s="1277"/>
      <c r="C681" s="1278"/>
      <c r="D681" s="1285" t="s">
        <v>209</v>
      </c>
      <c r="E681" s="1286"/>
      <c r="F681" s="210">
        <f>F682</f>
        <v>300000</v>
      </c>
    </row>
    <row r="682" spans="1:12" ht="40.5" customHeight="1">
      <c r="A682" s="575"/>
      <c r="B682" s="1277"/>
      <c r="C682" s="1278"/>
      <c r="D682" s="578" t="s">
        <v>16</v>
      </c>
      <c r="E682" s="579" t="s">
        <v>450</v>
      </c>
      <c r="F682" s="210">
        <v>300000</v>
      </c>
    </row>
    <row r="683" spans="1:12" ht="17.100000000000001" customHeight="1">
      <c r="A683" s="575"/>
      <c r="B683" s="1277"/>
      <c r="C683" s="1278"/>
      <c r="D683" s="1277"/>
      <c r="E683" s="1281"/>
      <c r="F683" s="1282"/>
    </row>
    <row r="684" spans="1:12" ht="17.100000000000001" hidden="1" customHeight="1">
      <c r="A684" s="575"/>
      <c r="B684" s="1277"/>
      <c r="C684" s="1278"/>
      <c r="D684" s="1273" t="s">
        <v>213</v>
      </c>
      <c r="E684" s="1283"/>
      <c r="F684" s="210">
        <f>SUM(F685:F685)</f>
        <v>0</v>
      </c>
    </row>
    <row r="685" spans="1:12" ht="17.100000000000001" hidden="1" customHeight="1">
      <c r="A685" s="575"/>
      <c r="B685" s="1277"/>
      <c r="C685" s="1281"/>
      <c r="D685" s="211" t="s">
        <v>232</v>
      </c>
      <c r="E685" s="559" t="s">
        <v>171</v>
      </c>
      <c r="F685" s="208"/>
    </row>
    <row r="686" spans="1:12" ht="17.100000000000001" hidden="1" customHeight="1">
      <c r="A686" s="575"/>
      <c r="B686" s="1277"/>
      <c r="C686" s="1281"/>
      <c r="D686" s="1365"/>
      <c r="E686" s="1366"/>
      <c r="F686" s="1367"/>
    </row>
    <row r="687" spans="1:12" ht="17.100000000000001" customHeight="1">
      <c r="A687" s="575"/>
      <c r="B687" s="1277"/>
      <c r="C687" s="1281"/>
      <c r="D687" s="1312" t="s">
        <v>202</v>
      </c>
      <c r="E687" s="1313"/>
      <c r="F687" s="227">
        <f>F688</f>
        <v>100000</v>
      </c>
    </row>
    <row r="688" spans="1:12" ht="17.100000000000001" customHeight="1">
      <c r="A688" s="575"/>
      <c r="B688" s="1277"/>
      <c r="C688" s="1281"/>
      <c r="D688" s="1368" t="s">
        <v>203</v>
      </c>
      <c r="E688" s="1368"/>
      <c r="F688" s="208">
        <f>SUM(F689:F689)</f>
        <v>100000</v>
      </c>
    </row>
    <row r="689" spans="1:11" ht="17.100000000000001" customHeight="1">
      <c r="A689" s="575"/>
      <c r="B689" s="1277"/>
      <c r="C689" s="1278"/>
      <c r="D689" s="578" t="s">
        <v>245</v>
      </c>
      <c r="E689" s="579" t="s">
        <v>246</v>
      </c>
      <c r="F689" s="208">
        <v>100000</v>
      </c>
    </row>
    <row r="690" spans="1:11" ht="17.100000000000001" hidden="1" customHeight="1">
      <c r="A690" s="575"/>
      <c r="B690" s="555"/>
      <c r="C690" s="562" t="s">
        <v>451</v>
      </c>
      <c r="D690" s="603"/>
      <c r="E690" s="577" t="s">
        <v>452</v>
      </c>
      <c r="F690" s="228">
        <f>F691</f>
        <v>0</v>
      </c>
    </row>
    <row r="691" spans="1:11" ht="17.100000000000001" hidden="1" customHeight="1">
      <c r="A691" s="575"/>
      <c r="B691" s="593"/>
      <c r="C691" s="1369"/>
      <c r="D691" s="1271" t="s">
        <v>146</v>
      </c>
      <c r="E691" s="1272"/>
      <c r="F691" s="229">
        <f>F692</f>
        <v>0</v>
      </c>
    </row>
    <row r="692" spans="1:11" ht="17.100000000000001" hidden="1" customHeight="1">
      <c r="A692" s="575"/>
      <c r="B692" s="593"/>
      <c r="C692" s="1369"/>
      <c r="D692" s="1273" t="s">
        <v>147</v>
      </c>
      <c r="E692" s="1283"/>
      <c r="F692" s="208">
        <f>F693</f>
        <v>0</v>
      </c>
    </row>
    <row r="693" spans="1:11" ht="17.100000000000001" hidden="1" customHeight="1">
      <c r="A693" s="575"/>
      <c r="B693" s="593"/>
      <c r="C693" s="1369"/>
      <c r="D693" s="1279" t="s">
        <v>159</v>
      </c>
      <c r="E693" s="1280"/>
      <c r="F693" s="208">
        <f>F694</f>
        <v>0</v>
      </c>
    </row>
    <row r="694" spans="1:11" ht="17.100000000000001" hidden="1" customHeight="1">
      <c r="A694" s="575"/>
      <c r="B694" s="593"/>
      <c r="C694" s="1369"/>
      <c r="D694" s="578" t="s">
        <v>170</v>
      </c>
      <c r="E694" s="579" t="s">
        <v>171</v>
      </c>
      <c r="F694" s="208"/>
    </row>
    <row r="695" spans="1:11" ht="17.100000000000001" customHeight="1">
      <c r="A695" s="575"/>
      <c r="B695" s="1358" t="s">
        <v>453</v>
      </c>
      <c r="C695" s="1359"/>
      <c r="D695" s="616"/>
      <c r="E695" s="617" t="s">
        <v>129</v>
      </c>
      <c r="F695" s="206">
        <f>F696+F750</f>
        <v>11558150</v>
      </c>
    </row>
    <row r="696" spans="1:11" ht="17.100000000000001" customHeight="1">
      <c r="A696" s="575"/>
      <c r="B696" s="1338"/>
      <c r="C696" s="1360"/>
      <c r="D696" s="1271" t="s">
        <v>146</v>
      </c>
      <c r="E696" s="1272"/>
      <c r="F696" s="207">
        <f>F697+F712+F718+F715</f>
        <v>9048150</v>
      </c>
    </row>
    <row r="697" spans="1:11" ht="17.100000000000001" customHeight="1">
      <c r="A697" s="575"/>
      <c r="B697" s="1289"/>
      <c r="C697" s="1290"/>
      <c r="D697" s="1273" t="s">
        <v>147</v>
      </c>
      <c r="E697" s="1283"/>
      <c r="F697" s="210">
        <f>F698+F702</f>
        <v>3622850</v>
      </c>
    </row>
    <row r="698" spans="1:11" ht="17.100000000000001" customHeight="1">
      <c r="A698" s="575"/>
      <c r="B698" s="1289"/>
      <c r="C698" s="1290"/>
      <c r="D698" s="1275" t="s">
        <v>148</v>
      </c>
      <c r="E698" s="1284"/>
      <c r="F698" s="210">
        <f>SUM(F699:F700)</f>
        <v>72500</v>
      </c>
    </row>
    <row r="699" spans="1:11" ht="17.100000000000001" customHeight="1">
      <c r="A699" s="575"/>
      <c r="B699" s="1289"/>
      <c r="C699" s="1290"/>
      <c r="D699" s="578" t="s">
        <v>153</v>
      </c>
      <c r="E699" s="579" t="s">
        <v>154</v>
      </c>
      <c r="F699" s="210">
        <v>500</v>
      </c>
    </row>
    <row r="700" spans="1:11" ht="17.100000000000001" customHeight="1">
      <c r="A700" s="575"/>
      <c r="B700" s="1289"/>
      <c r="C700" s="1290"/>
      <c r="D700" s="578" t="s">
        <v>157</v>
      </c>
      <c r="E700" s="579" t="s">
        <v>158</v>
      </c>
      <c r="F700" s="210">
        <v>72000</v>
      </c>
    </row>
    <row r="701" spans="1:11" ht="17.100000000000001" customHeight="1">
      <c r="A701" s="575"/>
      <c r="B701" s="1289"/>
      <c r="C701" s="1290"/>
      <c r="D701" s="1277"/>
      <c r="E701" s="1281"/>
      <c r="F701" s="1282"/>
    </row>
    <row r="702" spans="1:11" ht="17.100000000000001" customHeight="1">
      <c r="A702" s="575"/>
      <c r="B702" s="1289"/>
      <c r="C702" s="1290"/>
      <c r="D702" s="1279" t="s">
        <v>159</v>
      </c>
      <c r="E702" s="1280"/>
      <c r="F702" s="210">
        <f>SUM(F703:F710)</f>
        <v>3550350</v>
      </c>
    </row>
    <row r="703" spans="1:11" ht="17.100000000000001" customHeight="1">
      <c r="A703" s="575"/>
      <c r="B703" s="1289"/>
      <c r="C703" s="1290"/>
      <c r="D703" s="578" t="s">
        <v>162</v>
      </c>
      <c r="E703" s="579" t="s">
        <v>163</v>
      </c>
      <c r="F703" s="210">
        <v>27000</v>
      </c>
    </row>
    <row r="704" spans="1:11" ht="17.100000000000001" customHeight="1">
      <c r="A704" s="575"/>
      <c r="B704" s="1289"/>
      <c r="C704" s="1290"/>
      <c r="D704" s="578" t="s">
        <v>170</v>
      </c>
      <c r="E704" s="579" t="s">
        <v>171</v>
      </c>
      <c r="F704" s="210">
        <f>1000+12000+107000+2920000</f>
        <v>3040000</v>
      </c>
      <c r="H704" s="201" t="s">
        <v>454</v>
      </c>
      <c r="I704" s="201" t="s">
        <v>455</v>
      </c>
      <c r="J704" s="201" t="s">
        <v>456</v>
      </c>
      <c r="K704" s="201" t="s">
        <v>457</v>
      </c>
    </row>
    <row r="705" spans="1:9" ht="17.100000000000001" customHeight="1">
      <c r="A705" s="575"/>
      <c r="B705" s="1289"/>
      <c r="C705" s="1290"/>
      <c r="D705" s="578" t="s">
        <v>388</v>
      </c>
      <c r="E705" s="579" t="s">
        <v>371</v>
      </c>
      <c r="F705" s="210">
        <f>3000+2000</f>
        <v>5000</v>
      </c>
      <c r="H705" s="201" t="s">
        <v>436</v>
      </c>
      <c r="I705" s="201" t="s">
        <v>458</v>
      </c>
    </row>
    <row r="706" spans="1:9" ht="17.100000000000001" customHeight="1">
      <c r="A706" s="575"/>
      <c r="B706" s="1289"/>
      <c r="C706" s="1290"/>
      <c r="D706" s="578" t="s">
        <v>257</v>
      </c>
      <c r="E706" s="579" t="s">
        <v>258</v>
      </c>
      <c r="F706" s="210">
        <f>61750+165000</f>
        <v>226750</v>
      </c>
      <c r="H706" s="201" t="s">
        <v>459</v>
      </c>
      <c r="I706" s="201" t="s">
        <v>460</v>
      </c>
    </row>
    <row r="707" spans="1:9" ht="17.100000000000001" customHeight="1">
      <c r="A707" s="575"/>
      <c r="B707" s="1289"/>
      <c r="C707" s="1290"/>
      <c r="D707" s="578" t="s">
        <v>176</v>
      </c>
      <c r="E707" s="579" t="s">
        <v>177</v>
      </c>
      <c r="F707" s="210">
        <v>4000</v>
      </c>
    </row>
    <row r="708" spans="1:9" ht="17.100000000000001" customHeight="1">
      <c r="A708" s="575"/>
      <c r="B708" s="1289"/>
      <c r="C708" s="1290"/>
      <c r="D708" s="578" t="s">
        <v>314</v>
      </c>
      <c r="E708" s="579" t="s">
        <v>315</v>
      </c>
      <c r="F708" s="210">
        <v>6000</v>
      </c>
    </row>
    <row r="709" spans="1:9" ht="17.100000000000001" customHeight="1">
      <c r="A709" s="575"/>
      <c r="B709" s="1289"/>
      <c r="C709" s="1290"/>
      <c r="D709" s="578" t="s">
        <v>178</v>
      </c>
      <c r="E709" s="579" t="s">
        <v>179</v>
      </c>
      <c r="F709" s="210">
        <f>110000+100000</f>
        <v>210000</v>
      </c>
      <c r="H709" s="201" t="s">
        <v>461</v>
      </c>
      <c r="I709" s="201" t="s">
        <v>443</v>
      </c>
    </row>
    <row r="710" spans="1:9" ht="17.100000000000001" customHeight="1">
      <c r="A710" s="575"/>
      <c r="B710" s="1289"/>
      <c r="C710" s="1290"/>
      <c r="D710" s="578" t="s">
        <v>195</v>
      </c>
      <c r="E710" s="579" t="s">
        <v>196</v>
      </c>
      <c r="F710" s="210">
        <f>6600+25000</f>
        <v>31600</v>
      </c>
      <c r="H710" s="201" t="s">
        <v>462</v>
      </c>
      <c r="I710" s="201" t="s">
        <v>463</v>
      </c>
    </row>
    <row r="711" spans="1:9" ht="17.100000000000001" hidden="1" customHeight="1">
      <c r="A711" s="575"/>
      <c r="B711" s="1289"/>
      <c r="C711" s="1290"/>
      <c r="D711" s="1277"/>
      <c r="E711" s="1281"/>
      <c r="F711" s="1282"/>
    </row>
    <row r="712" spans="1:9" ht="17.100000000000001" hidden="1" customHeight="1">
      <c r="A712" s="575"/>
      <c r="B712" s="1289"/>
      <c r="C712" s="1290"/>
      <c r="D712" s="1285" t="s">
        <v>209</v>
      </c>
      <c r="E712" s="1286"/>
      <c r="F712" s="210">
        <f>F713</f>
        <v>0</v>
      </c>
    </row>
    <row r="713" spans="1:9" ht="29.25" hidden="1" customHeight="1">
      <c r="A713" s="575"/>
      <c r="B713" s="1289"/>
      <c r="C713" s="1290"/>
      <c r="D713" s="583" t="s">
        <v>210</v>
      </c>
      <c r="E713" s="584" t="s">
        <v>211</v>
      </c>
      <c r="F713" s="585">
        <v>0</v>
      </c>
    </row>
    <row r="714" spans="1:9" ht="17.100000000000001" customHeight="1">
      <c r="A714" s="575"/>
      <c r="B714" s="1289"/>
      <c r="C714" s="1290"/>
      <c r="D714" s="1362"/>
      <c r="E714" s="1363"/>
      <c r="F714" s="1364"/>
    </row>
    <row r="715" spans="1:9" ht="17.100000000000001" customHeight="1">
      <c r="A715" s="575"/>
      <c r="B715" s="1289"/>
      <c r="C715" s="1290"/>
      <c r="D715" s="1285" t="s">
        <v>464</v>
      </c>
      <c r="E715" s="1286"/>
      <c r="F715" s="612">
        <f>F716</f>
        <v>4000</v>
      </c>
    </row>
    <row r="716" spans="1:9" ht="17.100000000000001" customHeight="1">
      <c r="A716" s="575"/>
      <c r="B716" s="1289"/>
      <c r="C716" s="1290"/>
      <c r="D716" s="578" t="s">
        <v>379</v>
      </c>
      <c r="E716" s="579" t="s">
        <v>465</v>
      </c>
      <c r="F716" s="612">
        <v>4000</v>
      </c>
    </row>
    <row r="717" spans="1:9" ht="17.100000000000001" customHeight="1">
      <c r="A717" s="575"/>
      <c r="B717" s="1289"/>
      <c r="C717" s="1290"/>
      <c r="D717" s="1375"/>
      <c r="E717" s="1375"/>
      <c r="F717" s="1376"/>
    </row>
    <row r="718" spans="1:9" ht="17.100000000000001" customHeight="1">
      <c r="A718" s="575"/>
      <c r="B718" s="1289"/>
      <c r="C718" s="1290"/>
      <c r="D718" s="1377" t="s">
        <v>213</v>
      </c>
      <c r="E718" s="1378"/>
      <c r="F718" s="601">
        <f>SUM(F719:F748)</f>
        <v>5421300</v>
      </c>
    </row>
    <row r="719" spans="1:9" ht="51">
      <c r="A719" s="575"/>
      <c r="B719" s="1289"/>
      <c r="C719" s="1290"/>
      <c r="D719" s="226" t="s">
        <v>466</v>
      </c>
      <c r="E719" s="534" t="s">
        <v>467</v>
      </c>
      <c r="F719" s="601">
        <v>2448000</v>
      </c>
    </row>
    <row r="720" spans="1:9" ht="51">
      <c r="A720" s="575"/>
      <c r="B720" s="1289"/>
      <c r="C720" s="1290"/>
      <c r="D720" s="226" t="s">
        <v>282</v>
      </c>
      <c r="E720" s="534" t="s">
        <v>467</v>
      </c>
      <c r="F720" s="601">
        <v>432000</v>
      </c>
    </row>
    <row r="721" spans="1:6" ht="17.100000000000001" customHeight="1">
      <c r="A721" s="575"/>
      <c r="B721" s="1289"/>
      <c r="C721" s="1290"/>
      <c r="D721" s="531" t="s">
        <v>214</v>
      </c>
      <c r="E721" s="579" t="s">
        <v>150</v>
      </c>
      <c r="F721" s="210">
        <v>1085595</v>
      </c>
    </row>
    <row r="722" spans="1:6" ht="17.100000000000001" customHeight="1">
      <c r="A722" s="575"/>
      <c r="B722" s="1289"/>
      <c r="C722" s="1290"/>
      <c r="D722" s="578" t="s">
        <v>215</v>
      </c>
      <c r="E722" s="579" t="s">
        <v>150</v>
      </c>
      <c r="F722" s="210">
        <v>217153</v>
      </c>
    </row>
    <row r="723" spans="1:6" ht="17.100000000000001" customHeight="1">
      <c r="A723" s="575"/>
      <c r="B723" s="1289"/>
      <c r="C723" s="1290"/>
      <c r="D723" s="578" t="s">
        <v>216</v>
      </c>
      <c r="E723" s="579" t="s">
        <v>152</v>
      </c>
      <c r="F723" s="210">
        <v>51000</v>
      </c>
    </row>
    <row r="724" spans="1:6" ht="17.100000000000001" customHeight="1">
      <c r="A724" s="575"/>
      <c r="B724" s="1289"/>
      <c r="C724" s="1290"/>
      <c r="D724" s="578" t="s">
        <v>217</v>
      </c>
      <c r="E724" s="579" t="s">
        <v>152</v>
      </c>
      <c r="F724" s="210">
        <v>9000</v>
      </c>
    </row>
    <row r="725" spans="1:6" ht="17.100000000000001" customHeight="1">
      <c r="A725" s="575"/>
      <c r="B725" s="1289"/>
      <c r="C725" s="1290"/>
      <c r="D725" s="578" t="s">
        <v>218</v>
      </c>
      <c r="E725" s="579" t="s">
        <v>154</v>
      </c>
      <c r="F725" s="210">
        <v>203295</v>
      </c>
    </row>
    <row r="726" spans="1:6" ht="17.100000000000001" hidden="1" customHeight="1">
      <c r="A726" s="575"/>
      <c r="B726" s="1289"/>
      <c r="C726" s="1290"/>
      <c r="D726" s="578" t="s">
        <v>218</v>
      </c>
      <c r="E726" s="579" t="s">
        <v>154</v>
      </c>
      <c r="F726" s="210"/>
    </row>
    <row r="727" spans="1:6" ht="17.100000000000001" customHeight="1">
      <c r="A727" s="575"/>
      <c r="B727" s="1289"/>
      <c r="C727" s="1290"/>
      <c r="D727" s="578" t="s">
        <v>219</v>
      </c>
      <c r="E727" s="579" t="s">
        <v>154</v>
      </c>
      <c r="F727" s="210">
        <v>40272</v>
      </c>
    </row>
    <row r="728" spans="1:6" ht="17.100000000000001" customHeight="1">
      <c r="A728" s="575"/>
      <c r="B728" s="1289"/>
      <c r="C728" s="1290"/>
      <c r="D728" s="578" t="s">
        <v>220</v>
      </c>
      <c r="E728" s="579" t="s">
        <v>156</v>
      </c>
      <c r="F728" s="210">
        <v>55300</v>
      </c>
    </row>
    <row r="729" spans="1:6" ht="17.100000000000001" hidden="1" customHeight="1">
      <c r="A729" s="575"/>
      <c r="B729" s="1289"/>
      <c r="C729" s="1290"/>
      <c r="D729" s="578" t="s">
        <v>220</v>
      </c>
      <c r="E729" s="579" t="s">
        <v>156</v>
      </c>
      <c r="F729" s="210"/>
    </row>
    <row r="730" spans="1:6" ht="17.100000000000001" customHeight="1">
      <c r="A730" s="575"/>
      <c r="B730" s="1289"/>
      <c r="C730" s="1290"/>
      <c r="D730" s="578" t="s">
        <v>221</v>
      </c>
      <c r="E730" s="579" t="s">
        <v>156</v>
      </c>
      <c r="F730" s="210">
        <v>10385</v>
      </c>
    </row>
    <row r="731" spans="1:6" ht="17.100000000000001" customHeight="1">
      <c r="A731" s="575"/>
      <c r="B731" s="1289"/>
      <c r="C731" s="1290"/>
      <c r="D731" s="578" t="s">
        <v>222</v>
      </c>
      <c r="E731" s="579" t="s">
        <v>158</v>
      </c>
      <c r="F731" s="210">
        <v>13770</v>
      </c>
    </row>
    <row r="732" spans="1:6" ht="17.100000000000001" customHeight="1">
      <c r="A732" s="575"/>
      <c r="B732" s="1289"/>
      <c r="C732" s="1290"/>
      <c r="D732" s="578" t="s">
        <v>223</v>
      </c>
      <c r="E732" s="579" t="s">
        <v>158</v>
      </c>
      <c r="F732" s="210">
        <v>4230</v>
      </c>
    </row>
    <row r="733" spans="1:6" ht="17.100000000000001" customHeight="1">
      <c r="A733" s="575"/>
      <c r="B733" s="1289"/>
      <c r="C733" s="1290"/>
      <c r="D733" s="578" t="s">
        <v>227</v>
      </c>
      <c r="E733" s="579" t="s">
        <v>163</v>
      </c>
      <c r="F733" s="210">
        <v>133331</v>
      </c>
    </row>
    <row r="734" spans="1:6" ht="17.100000000000001" customHeight="1">
      <c r="A734" s="575"/>
      <c r="B734" s="1289"/>
      <c r="C734" s="1290"/>
      <c r="D734" s="578" t="s">
        <v>228</v>
      </c>
      <c r="E734" s="579" t="s">
        <v>163</v>
      </c>
      <c r="F734" s="210">
        <v>23709</v>
      </c>
    </row>
    <row r="735" spans="1:6" ht="17.100000000000001" customHeight="1">
      <c r="A735" s="575"/>
      <c r="B735" s="1289"/>
      <c r="C735" s="1290"/>
      <c r="D735" s="578" t="s">
        <v>398</v>
      </c>
      <c r="E735" s="579" t="s">
        <v>165</v>
      </c>
      <c r="F735" s="210">
        <v>17850</v>
      </c>
    </row>
    <row r="736" spans="1:6" ht="17.100000000000001" customHeight="1">
      <c r="A736" s="575"/>
      <c r="B736" s="1289"/>
      <c r="C736" s="1290"/>
      <c r="D736" s="578" t="s">
        <v>399</v>
      </c>
      <c r="E736" s="579" t="s">
        <v>165</v>
      </c>
      <c r="F736" s="210">
        <v>3150</v>
      </c>
    </row>
    <row r="737" spans="1:6" ht="17.100000000000001" customHeight="1">
      <c r="A737" s="575"/>
      <c r="B737" s="1289"/>
      <c r="C737" s="1290"/>
      <c r="D737" s="578" t="s">
        <v>231</v>
      </c>
      <c r="E737" s="579" t="s">
        <v>171</v>
      </c>
      <c r="F737" s="210">
        <v>445154</v>
      </c>
    </row>
    <row r="738" spans="1:6" ht="17.100000000000001" customHeight="1">
      <c r="A738" s="575"/>
      <c r="B738" s="1289"/>
      <c r="C738" s="1290"/>
      <c r="D738" s="578" t="s">
        <v>232</v>
      </c>
      <c r="E738" s="579" t="s">
        <v>171</v>
      </c>
      <c r="F738" s="210">
        <v>80106</v>
      </c>
    </row>
    <row r="739" spans="1:6" ht="17.100000000000001" customHeight="1">
      <c r="A739" s="575"/>
      <c r="B739" s="1289"/>
      <c r="C739" s="1290"/>
      <c r="D739" s="578" t="s">
        <v>270</v>
      </c>
      <c r="E739" s="579" t="s">
        <v>173</v>
      </c>
      <c r="F739" s="210">
        <v>10200</v>
      </c>
    </row>
    <row r="740" spans="1:6" ht="17.100000000000001" customHeight="1">
      <c r="A740" s="575"/>
      <c r="B740" s="1289"/>
      <c r="C740" s="1290"/>
      <c r="D740" s="578" t="s">
        <v>271</v>
      </c>
      <c r="E740" s="579" t="s">
        <v>173</v>
      </c>
      <c r="F740" s="210">
        <v>1800</v>
      </c>
    </row>
    <row r="741" spans="1:6" ht="17.100000000000001" customHeight="1">
      <c r="A741" s="575"/>
      <c r="B741" s="1289"/>
      <c r="C741" s="1290"/>
      <c r="D741" s="578" t="s">
        <v>415</v>
      </c>
      <c r="E741" s="579" t="s">
        <v>175</v>
      </c>
      <c r="F741" s="210">
        <v>20400</v>
      </c>
    </row>
    <row r="742" spans="1:6" ht="17.100000000000001" customHeight="1">
      <c r="A742" s="575"/>
      <c r="B742" s="1289"/>
      <c r="C742" s="1290"/>
      <c r="D742" s="578" t="s">
        <v>416</v>
      </c>
      <c r="E742" s="579" t="s">
        <v>175</v>
      </c>
      <c r="F742" s="210">
        <v>3600</v>
      </c>
    </row>
    <row r="743" spans="1:6" ht="17.100000000000001" customHeight="1">
      <c r="A743" s="575"/>
      <c r="B743" s="1289"/>
      <c r="C743" s="1290"/>
      <c r="D743" s="578" t="s">
        <v>233</v>
      </c>
      <c r="E743" s="579" t="s">
        <v>177</v>
      </c>
      <c r="F743" s="210">
        <v>25500</v>
      </c>
    </row>
    <row r="744" spans="1:6" ht="17.100000000000001" customHeight="1">
      <c r="A744" s="575"/>
      <c r="B744" s="1289"/>
      <c r="C744" s="1290"/>
      <c r="D744" s="578" t="s">
        <v>234</v>
      </c>
      <c r="E744" s="579" t="s">
        <v>177</v>
      </c>
      <c r="F744" s="210">
        <v>4500</v>
      </c>
    </row>
    <row r="745" spans="1:6" ht="17.100000000000001" customHeight="1">
      <c r="A745" s="575"/>
      <c r="B745" s="1289"/>
      <c r="C745" s="1290"/>
      <c r="D745" s="578" t="s">
        <v>420</v>
      </c>
      <c r="E745" s="579" t="s">
        <v>187</v>
      </c>
      <c r="F745" s="210">
        <v>1700</v>
      </c>
    </row>
    <row r="746" spans="1:6" ht="17.100000000000001" customHeight="1">
      <c r="A746" s="575"/>
      <c r="B746" s="1289"/>
      <c r="C746" s="1290"/>
      <c r="D746" s="583" t="s">
        <v>421</v>
      </c>
      <c r="E746" s="579" t="s">
        <v>187</v>
      </c>
      <c r="F746" s="585">
        <v>300</v>
      </c>
    </row>
    <row r="747" spans="1:6" ht="17.100000000000001" customHeight="1">
      <c r="A747" s="575"/>
      <c r="B747" s="1289"/>
      <c r="C747" s="1290"/>
      <c r="D747" s="618" t="s">
        <v>237</v>
      </c>
      <c r="E747" s="619" t="s">
        <v>468</v>
      </c>
      <c r="F747" s="210">
        <v>68000</v>
      </c>
    </row>
    <row r="748" spans="1:6" ht="17.100000000000001" customHeight="1">
      <c r="A748" s="575"/>
      <c r="B748" s="1289"/>
      <c r="C748" s="1290"/>
      <c r="D748" s="620" t="s">
        <v>238</v>
      </c>
      <c r="E748" s="619" t="s">
        <v>468</v>
      </c>
      <c r="F748" s="601">
        <v>12000</v>
      </c>
    </row>
    <row r="749" spans="1:6" ht="17.100000000000001" customHeight="1">
      <c r="A749" s="575"/>
      <c r="B749" s="1289"/>
      <c r="C749" s="1290"/>
      <c r="D749" s="1379"/>
      <c r="E749" s="1380"/>
      <c r="F749" s="1381"/>
    </row>
    <row r="750" spans="1:6" ht="17.100000000000001" customHeight="1">
      <c r="A750" s="575"/>
      <c r="B750" s="1289"/>
      <c r="C750" s="1290"/>
      <c r="D750" s="1312" t="s">
        <v>202</v>
      </c>
      <c r="E750" s="1313"/>
      <c r="F750" s="621">
        <f>F751</f>
        <v>2510000</v>
      </c>
    </row>
    <row r="751" spans="1:6" ht="17.100000000000001" customHeight="1">
      <c r="A751" s="575"/>
      <c r="B751" s="1289"/>
      <c r="C751" s="1290"/>
      <c r="D751" s="1368" t="s">
        <v>203</v>
      </c>
      <c r="E751" s="1368"/>
      <c r="F751" s="612">
        <f>SUM(F752:F754)</f>
        <v>2510000</v>
      </c>
    </row>
    <row r="752" spans="1:6" ht="17.100000000000001" customHeight="1">
      <c r="A752" s="575"/>
      <c r="B752" s="1289"/>
      <c r="C752" s="1290"/>
      <c r="D752" s="531" t="s">
        <v>253</v>
      </c>
      <c r="E752" s="532" t="s">
        <v>205</v>
      </c>
      <c r="F752" s="601">
        <v>2500000</v>
      </c>
    </row>
    <row r="753" spans="1:7" ht="17.100000000000001" customHeight="1">
      <c r="A753" s="575"/>
      <c r="B753" s="1289"/>
      <c r="C753" s="1290"/>
      <c r="D753" s="531" t="s">
        <v>273</v>
      </c>
      <c r="E753" s="532" t="s">
        <v>246</v>
      </c>
      <c r="F753" s="601">
        <v>7650</v>
      </c>
    </row>
    <row r="754" spans="1:7" ht="17.100000000000001" customHeight="1">
      <c r="A754" s="575"/>
      <c r="B754" s="1289"/>
      <c r="C754" s="1290"/>
      <c r="D754" s="531" t="s">
        <v>274</v>
      </c>
      <c r="E754" s="532" t="s">
        <v>246</v>
      </c>
      <c r="F754" s="601">
        <v>2350</v>
      </c>
    </row>
    <row r="755" spans="1:7" ht="18.75" customHeight="1">
      <c r="A755" s="575"/>
      <c r="B755" s="1289"/>
      <c r="C755" s="1290"/>
      <c r="D755" s="1277"/>
      <c r="E755" s="1291"/>
      <c r="F755" s="1292"/>
      <c r="G755" s="213"/>
    </row>
    <row r="756" spans="1:7" ht="18.75" customHeight="1">
      <c r="A756" s="575"/>
      <c r="B756" s="1289"/>
      <c r="C756" s="1290"/>
      <c r="D756" s="1279" t="s">
        <v>206</v>
      </c>
      <c r="E756" s="1311"/>
      <c r="F756" s="210">
        <f>F757+F758+F759</f>
        <v>2510000</v>
      </c>
      <c r="G756" s="213"/>
    </row>
    <row r="757" spans="1:7" ht="16.5" customHeight="1">
      <c r="A757" s="575"/>
      <c r="B757" s="1289"/>
      <c r="C757" s="1290"/>
      <c r="D757" s="531" t="s">
        <v>253</v>
      </c>
      <c r="E757" s="532" t="s">
        <v>205</v>
      </c>
      <c r="F757" s="601">
        <v>2500000</v>
      </c>
      <c r="G757" s="213"/>
    </row>
    <row r="758" spans="1:7" ht="16.5" customHeight="1">
      <c r="A758" s="575"/>
      <c r="B758" s="1289"/>
      <c r="C758" s="1290"/>
      <c r="D758" s="531" t="s">
        <v>273</v>
      </c>
      <c r="E758" s="532" t="s">
        <v>246</v>
      </c>
      <c r="F758" s="601">
        <v>7650</v>
      </c>
      <c r="G758" s="213"/>
    </row>
    <row r="759" spans="1:7" ht="16.5" customHeight="1">
      <c r="A759" s="575"/>
      <c r="B759" s="1345"/>
      <c r="C759" s="1361"/>
      <c r="D759" s="531" t="s">
        <v>274</v>
      </c>
      <c r="E759" s="532" t="s">
        <v>246</v>
      </c>
      <c r="F759" s="601">
        <v>2350</v>
      </c>
      <c r="G759" s="213"/>
    </row>
    <row r="760" spans="1:7" ht="17.100000000000001" customHeight="1">
      <c r="A760" s="572" t="s">
        <v>469</v>
      </c>
      <c r="B760" s="1263"/>
      <c r="C760" s="1264"/>
      <c r="D760" s="573"/>
      <c r="E760" s="574" t="s">
        <v>470</v>
      </c>
      <c r="F760" s="205">
        <f>F761</f>
        <v>3000</v>
      </c>
    </row>
    <row r="761" spans="1:7" ht="17.100000000000001" customHeight="1">
      <c r="A761" s="575"/>
      <c r="B761" s="1265" t="s">
        <v>471</v>
      </c>
      <c r="C761" s="1266"/>
      <c r="D761" s="576"/>
      <c r="E761" s="577" t="s">
        <v>472</v>
      </c>
      <c r="F761" s="206">
        <f>F762</f>
        <v>3000</v>
      </c>
    </row>
    <row r="762" spans="1:7" ht="17.100000000000001" customHeight="1">
      <c r="A762" s="575"/>
      <c r="B762" s="1267"/>
      <c r="C762" s="1268"/>
      <c r="D762" s="1271" t="s">
        <v>146</v>
      </c>
      <c r="E762" s="1272"/>
      <c r="F762" s="207">
        <f>F763</f>
        <v>3000</v>
      </c>
    </row>
    <row r="763" spans="1:7" ht="17.100000000000001" customHeight="1">
      <c r="A763" s="575"/>
      <c r="B763" s="1269"/>
      <c r="C763" s="1270"/>
      <c r="D763" s="1273" t="s">
        <v>147</v>
      </c>
      <c r="E763" s="1283"/>
      <c r="F763" s="210">
        <f>F764</f>
        <v>3000</v>
      </c>
    </row>
    <row r="764" spans="1:7" ht="17.100000000000001" customHeight="1">
      <c r="A764" s="575"/>
      <c r="B764" s="1269"/>
      <c r="C764" s="1270"/>
      <c r="D764" s="1279" t="s">
        <v>159</v>
      </c>
      <c r="E764" s="1280"/>
      <c r="F764" s="210">
        <f>F765</f>
        <v>3000</v>
      </c>
    </row>
    <row r="765" spans="1:7" ht="17.100000000000001" customHeight="1">
      <c r="A765" s="575"/>
      <c r="B765" s="1297"/>
      <c r="C765" s="1298"/>
      <c r="D765" s="578" t="s">
        <v>162</v>
      </c>
      <c r="E765" s="579" t="s">
        <v>163</v>
      </c>
      <c r="F765" s="210">
        <f>3000</f>
        <v>3000</v>
      </c>
    </row>
    <row r="766" spans="1:7" ht="17.100000000000001" customHeight="1">
      <c r="A766" s="622" t="s">
        <v>473</v>
      </c>
      <c r="B766" s="1263"/>
      <c r="C766" s="1264"/>
      <c r="D766" s="573"/>
      <c r="E766" s="574" t="s">
        <v>474</v>
      </c>
      <c r="F766" s="205">
        <f>F767+F775+F783+F787</f>
        <v>735625</v>
      </c>
    </row>
    <row r="767" spans="1:7" ht="17.100000000000001" customHeight="1">
      <c r="A767" s="618"/>
      <c r="B767" s="1370" t="s">
        <v>475</v>
      </c>
      <c r="C767" s="1266"/>
      <c r="D767" s="576"/>
      <c r="E767" s="577" t="s">
        <v>476</v>
      </c>
      <c r="F767" s="206">
        <f>F768+F772</f>
        <v>200000</v>
      </c>
    </row>
    <row r="768" spans="1:7" ht="17.100000000000001" hidden="1" customHeight="1">
      <c r="A768" s="623"/>
      <c r="B768" s="1371"/>
      <c r="C768" s="1268"/>
      <c r="D768" s="1271" t="s">
        <v>146</v>
      </c>
      <c r="E768" s="1272"/>
      <c r="F768" s="207">
        <f>F769</f>
        <v>0</v>
      </c>
    </row>
    <row r="769" spans="1:6" ht="17.100000000000001" hidden="1" customHeight="1">
      <c r="A769" s="623"/>
      <c r="B769" s="1372"/>
      <c r="C769" s="1270"/>
      <c r="D769" s="1285" t="s">
        <v>209</v>
      </c>
      <c r="E769" s="1286"/>
      <c r="F769" s="210">
        <f>F770</f>
        <v>0</v>
      </c>
    </row>
    <row r="770" spans="1:6" ht="17.100000000000001" hidden="1" customHeight="1">
      <c r="A770" s="623"/>
      <c r="B770" s="1372"/>
      <c r="C770" s="1270"/>
      <c r="D770" s="578" t="s">
        <v>477</v>
      </c>
      <c r="E770" s="579" t="s">
        <v>478</v>
      </c>
      <c r="F770" s="210"/>
    </row>
    <row r="771" spans="1:6" ht="17.100000000000001" hidden="1" customHeight="1">
      <c r="A771" s="623"/>
      <c r="B771" s="1373"/>
      <c r="C771" s="1344"/>
      <c r="D771" s="1277"/>
      <c r="E771" s="1291"/>
      <c r="F771" s="1292"/>
    </row>
    <row r="772" spans="1:6" ht="17.100000000000001" customHeight="1">
      <c r="A772" s="623"/>
      <c r="B772" s="1373"/>
      <c r="C772" s="1344"/>
      <c r="D772" s="1312" t="s">
        <v>202</v>
      </c>
      <c r="E772" s="1374"/>
      <c r="F772" s="207">
        <f>F773</f>
        <v>200000</v>
      </c>
    </row>
    <row r="773" spans="1:6" ht="17.100000000000001" customHeight="1">
      <c r="A773" s="623"/>
      <c r="B773" s="1373"/>
      <c r="C773" s="1344"/>
      <c r="D773" s="1285" t="s">
        <v>203</v>
      </c>
      <c r="E773" s="1348"/>
      <c r="F773" s="210">
        <f>F774</f>
        <v>200000</v>
      </c>
    </row>
    <row r="774" spans="1:6" ht="25.5" customHeight="1">
      <c r="A774" s="623"/>
      <c r="B774" s="1373"/>
      <c r="C774" s="1344"/>
      <c r="D774" s="578" t="s">
        <v>479</v>
      </c>
      <c r="E774" s="579" t="s">
        <v>480</v>
      </c>
      <c r="F774" s="210">
        <v>200000</v>
      </c>
    </row>
    <row r="775" spans="1:6" ht="17.100000000000001" customHeight="1">
      <c r="A775" s="623"/>
      <c r="B775" s="1383" t="s">
        <v>481</v>
      </c>
      <c r="C775" s="1383"/>
      <c r="D775" s="603"/>
      <c r="E775" s="577" t="s">
        <v>482</v>
      </c>
      <c r="F775" s="206">
        <f>F776+F780</f>
        <v>150000</v>
      </c>
    </row>
    <row r="776" spans="1:6" ht="17.100000000000001" hidden="1" customHeight="1">
      <c r="A776" s="623"/>
      <c r="B776" s="1384"/>
      <c r="C776" s="1385"/>
      <c r="D776" s="1390" t="s">
        <v>146</v>
      </c>
      <c r="E776" s="1272"/>
      <c r="F776" s="207">
        <f>F777</f>
        <v>0</v>
      </c>
    </row>
    <row r="777" spans="1:6" ht="17.100000000000001" hidden="1" customHeight="1">
      <c r="A777" s="623"/>
      <c r="B777" s="1372"/>
      <c r="C777" s="1386"/>
      <c r="D777" s="1391" t="s">
        <v>209</v>
      </c>
      <c r="E777" s="1286"/>
      <c r="F777" s="210">
        <f>F778</f>
        <v>0</v>
      </c>
    </row>
    <row r="778" spans="1:6" ht="17.100000000000001" hidden="1" customHeight="1">
      <c r="A778" s="623"/>
      <c r="B778" s="1372"/>
      <c r="C778" s="1386"/>
      <c r="D778" s="624" t="s">
        <v>477</v>
      </c>
      <c r="E778" s="579" t="s">
        <v>478</v>
      </c>
      <c r="F778" s="210"/>
    </row>
    <row r="779" spans="1:6" ht="17.100000000000001" hidden="1" customHeight="1">
      <c r="A779" s="623"/>
      <c r="B779" s="1373"/>
      <c r="C779" s="1387"/>
      <c r="D779" s="1392"/>
      <c r="E779" s="1291"/>
      <c r="F779" s="1292"/>
    </row>
    <row r="780" spans="1:6" ht="17.100000000000001" customHeight="1">
      <c r="A780" s="623"/>
      <c r="B780" s="1373"/>
      <c r="C780" s="1387"/>
      <c r="D780" s="1393" t="s">
        <v>202</v>
      </c>
      <c r="E780" s="1374"/>
      <c r="F780" s="207">
        <f>F781</f>
        <v>150000</v>
      </c>
    </row>
    <row r="781" spans="1:6" ht="17.100000000000001" customHeight="1">
      <c r="A781" s="623"/>
      <c r="B781" s="1373"/>
      <c r="C781" s="1387"/>
      <c r="D781" s="1285" t="s">
        <v>203</v>
      </c>
      <c r="E781" s="1348"/>
      <c r="F781" s="210">
        <f>F782</f>
        <v>150000</v>
      </c>
    </row>
    <row r="782" spans="1:6" ht="27" customHeight="1">
      <c r="A782" s="623"/>
      <c r="B782" s="1388"/>
      <c r="C782" s="1389"/>
      <c r="D782" s="624" t="s">
        <v>479</v>
      </c>
      <c r="E782" s="579" t="s">
        <v>480</v>
      </c>
      <c r="F782" s="210">
        <v>150000</v>
      </c>
    </row>
    <row r="783" spans="1:6" ht="17.25" customHeight="1">
      <c r="A783" s="623"/>
      <c r="B783" s="556"/>
      <c r="C783" s="564" t="s">
        <v>483</v>
      </c>
      <c r="D783" s="576"/>
      <c r="E783" s="577" t="s">
        <v>1079</v>
      </c>
      <c r="F783" s="206">
        <f>F784</f>
        <v>200000</v>
      </c>
    </row>
    <row r="784" spans="1:6" ht="17.100000000000001" customHeight="1">
      <c r="A784" s="623"/>
      <c r="B784" s="556"/>
      <c r="C784" s="1268"/>
      <c r="D784" s="1271" t="s">
        <v>202</v>
      </c>
      <c r="E784" s="1272"/>
      <c r="F784" s="207">
        <f>F785</f>
        <v>200000</v>
      </c>
    </row>
    <row r="785" spans="1:6" ht="17.100000000000001" customHeight="1">
      <c r="A785" s="623"/>
      <c r="B785" s="556"/>
      <c r="C785" s="1316"/>
      <c r="D785" s="1285" t="s">
        <v>203</v>
      </c>
      <c r="E785" s="1348"/>
      <c r="F785" s="210">
        <f>F786</f>
        <v>200000</v>
      </c>
    </row>
    <row r="786" spans="1:6" ht="25.5">
      <c r="A786" s="623"/>
      <c r="B786" s="556"/>
      <c r="C786" s="1318"/>
      <c r="D786" s="578" t="s">
        <v>479</v>
      </c>
      <c r="E786" s="579" t="s">
        <v>480</v>
      </c>
      <c r="F786" s="210">
        <v>200000</v>
      </c>
    </row>
    <row r="787" spans="1:6" ht="17.100000000000001" customHeight="1">
      <c r="A787" s="623"/>
      <c r="B787" s="1370" t="s">
        <v>484</v>
      </c>
      <c r="C787" s="1266"/>
      <c r="D787" s="576"/>
      <c r="E787" s="577" t="s">
        <v>485</v>
      </c>
      <c r="F787" s="206">
        <f>F788</f>
        <v>185625</v>
      </c>
    </row>
    <row r="788" spans="1:6" ht="17.100000000000001" customHeight="1">
      <c r="A788" s="623"/>
      <c r="B788" s="1287"/>
      <c r="C788" s="1268"/>
      <c r="D788" s="1271" t="s">
        <v>146</v>
      </c>
      <c r="E788" s="1272"/>
      <c r="F788" s="207">
        <f>F789</f>
        <v>185625</v>
      </c>
    </row>
    <row r="789" spans="1:6" ht="17.100000000000001" customHeight="1">
      <c r="A789" s="623"/>
      <c r="B789" s="1288"/>
      <c r="C789" s="1270"/>
      <c r="D789" s="1285" t="s">
        <v>209</v>
      </c>
      <c r="E789" s="1286"/>
      <c r="F789" s="210">
        <f>F790</f>
        <v>185625</v>
      </c>
    </row>
    <row r="790" spans="1:6" ht="44.25" customHeight="1">
      <c r="A790" s="625"/>
      <c r="B790" s="1382"/>
      <c r="C790" s="1298"/>
      <c r="D790" s="578" t="s">
        <v>261</v>
      </c>
      <c r="E790" s="579" t="s">
        <v>262</v>
      </c>
      <c r="F790" s="210">
        <v>185625</v>
      </c>
    </row>
    <row r="791" spans="1:6" ht="17.100000000000001" customHeight="1">
      <c r="A791" s="626" t="s">
        <v>486</v>
      </c>
      <c r="B791" s="1263"/>
      <c r="C791" s="1264"/>
      <c r="D791" s="573"/>
      <c r="E791" s="574" t="s">
        <v>487</v>
      </c>
      <c r="F791" s="205">
        <f>F792+F796</f>
        <v>20671128</v>
      </c>
    </row>
    <row r="792" spans="1:6" ht="30" customHeight="1">
      <c r="A792" s="575"/>
      <c r="B792" s="1265" t="s">
        <v>488</v>
      </c>
      <c r="C792" s="1266"/>
      <c r="D792" s="576"/>
      <c r="E792" s="577" t="s">
        <v>489</v>
      </c>
      <c r="F792" s="206">
        <f>F793</f>
        <v>13000000</v>
      </c>
    </row>
    <row r="793" spans="1:6" ht="17.100000000000001" customHeight="1">
      <c r="A793" s="575"/>
      <c r="B793" s="1267"/>
      <c r="C793" s="1268"/>
      <c r="D793" s="1271" t="s">
        <v>146</v>
      </c>
      <c r="E793" s="1272"/>
      <c r="F793" s="207">
        <f>F794</f>
        <v>13000000</v>
      </c>
    </row>
    <row r="794" spans="1:6" ht="17.100000000000001" customHeight="1">
      <c r="A794" s="575"/>
      <c r="B794" s="1269"/>
      <c r="C794" s="1270"/>
      <c r="D794" s="1273" t="s">
        <v>490</v>
      </c>
      <c r="E794" s="1283"/>
      <c r="F794" s="210">
        <f>F795</f>
        <v>13000000</v>
      </c>
    </row>
    <row r="795" spans="1:6" ht="27.75" customHeight="1">
      <c r="A795" s="575"/>
      <c r="B795" s="1297"/>
      <c r="C795" s="1298"/>
      <c r="D795" s="578" t="s">
        <v>491</v>
      </c>
      <c r="E795" s="579" t="s">
        <v>492</v>
      </c>
      <c r="F795" s="210">
        <v>13000000</v>
      </c>
    </row>
    <row r="796" spans="1:6" ht="26.25" customHeight="1">
      <c r="A796" s="575"/>
      <c r="B796" s="1265" t="s">
        <v>493</v>
      </c>
      <c r="C796" s="1266"/>
      <c r="D796" s="576"/>
      <c r="E796" s="577" t="s">
        <v>494</v>
      </c>
      <c r="F796" s="206">
        <f>F797</f>
        <v>7671128</v>
      </c>
    </row>
    <row r="797" spans="1:6" ht="17.100000000000001" customHeight="1">
      <c r="A797" s="627"/>
      <c r="B797" s="1267"/>
      <c r="C797" s="1268"/>
      <c r="D797" s="1271" t="s">
        <v>146</v>
      </c>
      <c r="E797" s="1272"/>
      <c r="F797" s="207">
        <f>F798</f>
        <v>7671128</v>
      </c>
    </row>
    <row r="798" spans="1:6" ht="17.100000000000001" customHeight="1">
      <c r="A798" s="627"/>
      <c r="B798" s="1269"/>
      <c r="C798" s="1270"/>
      <c r="D798" s="1273" t="s">
        <v>495</v>
      </c>
      <c r="E798" s="1283"/>
      <c r="F798" s="210">
        <f>F799</f>
        <v>7671128</v>
      </c>
    </row>
    <row r="799" spans="1:6" ht="17.100000000000001" customHeight="1">
      <c r="A799" s="575"/>
      <c r="B799" s="1297"/>
      <c r="C799" s="1298"/>
      <c r="D799" s="578" t="s">
        <v>496</v>
      </c>
      <c r="E799" s="579" t="s">
        <v>497</v>
      </c>
      <c r="F799" s="210">
        <v>7671128</v>
      </c>
    </row>
    <row r="800" spans="1:6" ht="17.100000000000001" customHeight="1">
      <c r="A800" s="572" t="s">
        <v>498</v>
      </c>
      <c r="B800" s="1263"/>
      <c r="C800" s="1264"/>
      <c r="D800" s="573"/>
      <c r="E800" s="574" t="s">
        <v>499</v>
      </c>
      <c r="F800" s="205">
        <f>F801</f>
        <v>30762612</v>
      </c>
    </row>
    <row r="801" spans="1:6" ht="17.100000000000001" customHeight="1">
      <c r="A801" s="575"/>
      <c r="B801" s="1265" t="s">
        <v>500</v>
      </c>
      <c r="C801" s="1266"/>
      <c r="D801" s="576"/>
      <c r="E801" s="577" t="s">
        <v>501</v>
      </c>
      <c r="F801" s="206">
        <f>F802+F807</f>
        <v>30762612</v>
      </c>
    </row>
    <row r="802" spans="1:6" ht="17.100000000000001" customHeight="1">
      <c r="A802" s="575"/>
      <c r="B802" s="589"/>
      <c r="C802" s="590"/>
      <c r="D802" s="1271" t="s">
        <v>146</v>
      </c>
      <c r="E802" s="1272"/>
      <c r="F802" s="207">
        <f>F803</f>
        <v>18679039</v>
      </c>
    </row>
    <row r="803" spans="1:6" ht="17.100000000000001" customHeight="1">
      <c r="A803" s="575"/>
      <c r="B803" s="591"/>
      <c r="C803" s="212"/>
      <c r="D803" s="1273" t="s">
        <v>147</v>
      </c>
      <c r="E803" s="1283"/>
      <c r="F803" s="210">
        <f>F804</f>
        <v>18679039</v>
      </c>
    </row>
    <row r="804" spans="1:6" ht="17.100000000000001" customHeight="1">
      <c r="A804" s="575"/>
      <c r="B804" s="591"/>
      <c r="C804" s="1288"/>
      <c r="D804" s="1279" t="s">
        <v>159</v>
      </c>
      <c r="E804" s="1280"/>
      <c r="F804" s="210">
        <f>F805</f>
        <v>18679039</v>
      </c>
    </row>
    <row r="805" spans="1:6" ht="17.100000000000001" customHeight="1">
      <c r="A805" s="575"/>
      <c r="B805" s="592"/>
      <c r="C805" s="1288"/>
      <c r="D805" s="583" t="s">
        <v>502</v>
      </c>
      <c r="E805" s="584" t="s">
        <v>503</v>
      </c>
      <c r="F805" s="585">
        <v>18679039</v>
      </c>
    </row>
    <row r="806" spans="1:6" ht="17.100000000000001" customHeight="1">
      <c r="A806" s="575"/>
      <c r="B806" s="593"/>
      <c r="C806" s="1288"/>
      <c r="D806" s="1398"/>
      <c r="E806" s="1399"/>
      <c r="F806" s="1400"/>
    </row>
    <row r="807" spans="1:6" ht="17.100000000000001" customHeight="1">
      <c r="A807" s="575"/>
      <c r="B807" s="593"/>
      <c r="C807" s="1288"/>
      <c r="D807" s="1306" t="s">
        <v>202</v>
      </c>
      <c r="E807" s="1307"/>
      <c r="F807" s="533">
        <f>F808</f>
        <v>12083573</v>
      </c>
    </row>
    <row r="808" spans="1:6" ht="17.100000000000001" customHeight="1">
      <c r="A808" s="575"/>
      <c r="B808" s="593"/>
      <c r="C808" s="1288"/>
      <c r="D808" s="1285" t="s">
        <v>203</v>
      </c>
      <c r="E808" s="1348"/>
      <c r="F808" s="210">
        <f>F809</f>
        <v>12083573</v>
      </c>
    </row>
    <row r="809" spans="1:6" ht="17.100000000000001" customHeight="1">
      <c r="A809" s="575"/>
      <c r="B809" s="596"/>
      <c r="C809" s="1288"/>
      <c r="D809" s="628" t="s">
        <v>504</v>
      </c>
      <c r="E809" s="629" t="s">
        <v>505</v>
      </c>
      <c r="F809" s="585">
        <v>12083573</v>
      </c>
    </row>
    <row r="810" spans="1:6">
      <c r="A810" s="630" t="s">
        <v>506</v>
      </c>
      <c r="B810" s="1394"/>
      <c r="C810" s="1394"/>
      <c r="D810" s="535"/>
      <c r="E810" s="536" t="s">
        <v>507</v>
      </c>
      <c r="F810" s="205">
        <f>F811+F819+F842+F859+F876+F911+F938+F994+F1027</f>
        <v>48655060</v>
      </c>
    </row>
    <row r="811" spans="1:6" ht="17.100000000000001" hidden="1" customHeight="1">
      <c r="A811" s="631"/>
      <c r="B811" s="632"/>
      <c r="C811" s="633" t="s">
        <v>508</v>
      </c>
      <c r="D811" s="537"/>
      <c r="E811" s="634" t="s">
        <v>509</v>
      </c>
      <c r="F811" s="635">
        <f>F812+F816</f>
        <v>0</v>
      </c>
    </row>
    <row r="812" spans="1:6" ht="17.100000000000001" hidden="1" customHeight="1">
      <c r="A812" s="631"/>
      <c r="B812" s="636"/>
      <c r="C812" s="1395"/>
      <c r="D812" s="1390" t="s">
        <v>146</v>
      </c>
      <c r="E812" s="1272"/>
      <c r="F812" s="207">
        <f>F813</f>
        <v>0</v>
      </c>
    </row>
    <row r="813" spans="1:6" ht="17.100000000000001" hidden="1" customHeight="1">
      <c r="A813" s="631"/>
      <c r="B813" s="636"/>
      <c r="C813" s="1396"/>
      <c r="D813" s="1391" t="s">
        <v>209</v>
      </c>
      <c r="E813" s="1286"/>
      <c r="F813" s="210">
        <f>F814</f>
        <v>0</v>
      </c>
    </row>
    <row r="814" spans="1:6" ht="38.25" hidden="1">
      <c r="A814" s="631"/>
      <c r="B814" s="636"/>
      <c r="C814" s="1396"/>
      <c r="D814" s="637" t="s">
        <v>279</v>
      </c>
      <c r="E814" s="579" t="s">
        <v>280</v>
      </c>
      <c r="F814" s="210"/>
    </row>
    <row r="815" spans="1:6" ht="17.100000000000001" hidden="1" customHeight="1">
      <c r="A815" s="631"/>
      <c r="B815" s="636"/>
      <c r="C815" s="1396"/>
      <c r="D815" s="1288"/>
      <c r="E815" s="1288"/>
      <c r="F815" s="1386"/>
    </row>
    <row r="816" spans="1:6" ht="17.100000000000001" hidden="1" customHeight="1">
      <c r="A816" s="631"/>
      <c r="B816" s="636"/>
      <c r="C816" s="1396"/>
      <c r="D816" s="1397" t="s">
        <v>319</v>
      </c>
      <c r="E816" s="1313"/>
      <c r="F816" s="207">
        <f>F817</f>
        <v>0</v>
      </c>
    </row>
    <row r="817" spans="1:7" ht="17.100000000000001" hidden="1" customHeight="1">
      <c r="A817" s="631"/>
      <c r="B817" s="636"/>
      <c r="C817" s="1396"/>
      <c r="D817" s="1391" t="s">
        <v>292</v>
      </c>
      <c r="E817" s="1286"/>
      <c r="F817" s="210">
        <f>F818</f>
        <v>0</v>
      </c>
    </row>
    <row r="818" spans="1:7" ht="0.75" customHeight="1">
      <c r="A818" s="631"/>
      <c r="B818" s="638"/>
      <c r="C818" s="1396"/>
      <c r="D818" s="550" t="s">
        <v>284</v>
      </c>
      <c r="E818" s="584" t="s">
        <v>280</v>
      </c>
      <c r="F818" s="585"/>
      <c r="G818" s="213"/>
    </row>
    <row r="819" spans="1:7" ht="17.100000000000001" customHeight="1">
      <c r="A819" s="631"/>
      <c r="B819" s="1401" t="s">
        <v>510</v>
      </c>
      <c r="C819" s="1402"/>
      <c r="D819" s="639"/>
      <c r="E819" s="225" t="s">
        <v>511</v>
      </c>
      <c r="F819" s="206">
        <f>F820</f>
        <v>5269551</v>
      </c>
    </row>
    <row r="820" spans="1:7" ht="17.100000000000001" customHeight="1">
      <c r="A820" s="575"/>
      <c r="B820" s="580"/>
      <c r="C820" s="550"/>
      <c r="D820" s="1403" t="s">
        <v>146</v>
      </c>
      <c r="E820" s="1404"/>
      <c r="F820" s="533">
        <f>F821+F840</f>
        <v>5269551</v>
      </c>
    </row>
    <row r="821" spans="1:7" ht="17.100000000000001" customHeight="1">
      <c r="A821" s="575"/>
      <c r="B821" s="580"/>
      <c r="C821" s="550"/>
      <c r="D821" s="1273" t="s">
        <v>147</v>
      </c>
      <c r="E821" s="1283"/>
      <c r="F821" s="210">
        <f>F822+F828</f>
        <v>5134771</v>
      </c>
    </row>
    <row r="822" spans="1:7" ht="17.100000000000001" customHeight="1">
      <c r="A822" s="575"/>
      <c r="B822" s="580"/>
      <c r="C822" s="550"/>
      <c r="D822" s="1275" t="s">
        <v>148</v>
      </c>
      <c r="E822" s="1284"/>
      <c r="F822" s="210">
        <f>SUM(F823:F826)</f>
        <v>4822158</v>
      </c>
    </row>
    <row r="823" spans="1:7" ht="17.100000000000001" customHeight="1">
      <c r="A823" s="575"/>
      <c r="B823" s="1277"/>
      <c r="C823" s="1278"/>
      <c r="D823" s="578" t="s">
        <v>149</v>
      </c>
      <c r="E823" s="579" t="s">
        <v>150</v>
      </c>
      <c r="F823" s="210">
        <f>3676294</f>
        <v>3676294</v>
      </c>
    </row>
    <row r="824" spans="1:7" ht="17.100000000000001" customHeight="1">
      <c r="A824" s="575"/>
      <c r="B824" s="1277"/>
      <c r="C824" s="1278"/>
      <c r="D824" s="578" t="s">
        <v>151</v>
      </c>
      <c r="E824" s="579" t="s">
        <v>152</v>
      </c>
      <c r="F824" s="210">
        <v>323827</v>
      </c>
    </row>
    <row r="825" spans="1:7" ht="17.100000000000001" customHeight="1">
      <c r="A825" s="575"/>
      <c r="B825" s="1277"/>
      <c r="C825" s="1278"/>
      <c r="D825" s="578" t="s">
        <v>153</v>
      </c>
      <c r="E825" s="579" t="s">
        <v>154</v>
      </c>
      <c r="F825" s="210">
        <v>721754</v>
      </c>
    </row>
    <row r="826" spans="1:7" ht="17.100000000000001" customHeight="1">
      <c r="A826" s="575"/>
      <c r="B826" s="1277"/>
      <c r="C826" s="1278"/>
      <c r="D826" s="578" t="s">
        <v>155</v>
      </c>
      <c r="E826" s="579" t="s">
        <v>156</v>
      </c>
      <c r="F826" s="210">
        <v>100283</v>
      </c>
    </row>
    <row r="827" spans="1:7" ht="17.100000000000001" customHeight="1">
      <c r="A827" s="575"/>
      <c r="B827" s="580"/>
      <c r="C827" s="550"/>
      <c r="D827" s="1277"/>
      <c r="E827" s="1281"/>
      <c r="F827" s="1282"/>
    </row>
    <row r="828" spans="1:7" ht="17.100000000000001" customHeight="1">
      <c r="A828" s="575"/>
      <c r="B828" s="580"/>
      <c r="C828" s="550"/>
      <c r="D828" s="1279" t="s">
        <v>159</v>
      </c>
      <c r="E828" s="1280"/>
      <c r="F828" s="210">
        <f>SUM(F829:F838)</f>
        <v>312613</v>
      </c>
    </row>
    <row r="829" spans="1:7" ht="17.100000000000001" customHeight="1">
      <c r="A829" s="575"/>
      <c r="B829" s="1277"/>
      <c r="C829" s="1278"/>
      <c r="D829" s="578" t="s">
        <v>162</v>
      </c>
      <c r="E829" s="579" t="s">
        <v>163</v>
      </c>
      <c r="F829" s="210">
        <v>18060</v>
      </c>
    </row>
    <row r="830" spans="1:7" ht="17.100000000000001" customHeight="1">
      <c r="A830" s="575"/>
      <c r="B830" s="1277"/>
      <c r="C830" s="1278"/>
      <c r="D830" s="578" t="s">
        <v>353</v>
      </c>
      <c r="E830" s="579" t="s">
        <v>354</v>
      </c>
      <c r="F830" s="210">
        <v>4699</v>
      </c>
    </row>
    <row r="831" spans="1:7" ht="17.100000000000001" customHeight="1">
      <c r="A831" s="575"/>
      <c r="B831" s="1277"/>
      <c r="C831" s="1278"/>
      <c r="D831" s="578" t="s">
        <v>166</v>
      </c>
      <c r="E831" s="579" t="s">
        <v>167</v>
      </c>
      <c r="F831" s="210">
        <f>2500</f>
        <v>2500</v>
      </c>
    </row>
    <row r="832" spans="1:7" ht="17.100000000000001" customHeight="1">
      <c r="A832" s="575"/>
      <c r="B832" s="1277"/>
      <c r="C832" s="1278"/>
      <c r="D832" s="578" t="s">
        <v>168</v>
      </c>
      <c r="E832" s="579" t="s">
        <v>169</v>
      </c>
      <c r="F832" s="210">
        <v>4035</v>
      </c>
    </row>
    <row r="833" spans="1:6" ht="17.100000000000001" customHeight="1">
      <c r="A833" s="575"/>
      <c r="B833" s="1277"/>
      <c r="C833" s="1278"/>
      <c r="D833" s="578" t="s">
        <v>170</v>
      </c>
      <c r="E833" s="579" t="s">
        <v>171</v>
      </c>
      <c r="F833" s="210">
        <v>21408</v>
      </c>
    </row>
    <row r="834" spans="1:6" ht="16.5" customHeight="1">
      <c r="A834" s="575"/>
      <c r="B834" s="1277"/>
      <c r="C834" s="1278"/>
      <c r="D834" s="578" t="s">
        <v>172</v>
      </c>
      <c r="E834" s="579" t="s">
        <v>173</v>
      </c>
      <c r="F834" s="210">
        <v>9100</v>
      </c>
    </row>
    <row r="835" spans="1:6" ht="17.100000000000001" customHeight="1">
      <c r="A835" s="575"/>
      <c r="B835" s="580"/>
      <c r="C835" s="550"/>
      <c r="D835" s="578" t="s">
        <v>174</v>
      </c>
      <c r="E835" s="579" t="s">
        <v>175</v>
      </c>
      <c r="F835" s="210">
        <v>64706</v>
      </c>
    </row>
    <row r="836" spans="1:6" ht="17.100000000000001" customHeight="1">
      <c r="A836" s="575"/>
      <c r="B836" s="1277"/>
      <c r="C836" s="1278"/>
      <c r="D836" s="578" t="s">
        <v>176</v>
      </c>
      <c r="E836" s="579" t="s">
        <v>177</v>
      </c>
      <c r="F836" s="210">
        <v>3500</v>
      </c>
    </row>
    <row r="837" spans="1:6" ht="17.100000000000001" customHeight="1">
      <c r="A837" s="575"/>
      <c r="B837" s="1277"/>
      <c r="C837" s="1278"/>
      <c r="D837" s="578" t="s">
        <v>180</v>
      </c>
      <c r="E837" s="579" t="s">
        <v>181</v>
      </c>
      <c r="F837" s="210">
        <v>183155</v>
      </c>
    </row>
    <row r="838" spans="1:6" ht="17.100000000000001" customHeight="1">
      <c r="A838" s="575"/>
      <c r="B838" s="1277"/>
      <c r="C838" s="1278"/>
      <c r="D838" s="578" t="s">
        <v>188</v>
      </c>
      <c r="E838" s="579" t="s">
        <v>189</v>
      </c>
      <c r="F838" s="210">
        <v>1450</v>
      </c>
    </row>
    <row r="839" spans="1:6" ht="17.100000000000001" customHeight="1">
      <c r="A839" s="575"/>
      <c r="B839" s="1277"/>
      <c r="C839" s="1278"/>
      <c r="D839" s="1277"/>
      <c r="E839" s="1281"/>
      <c r="F839" s="1282"/>
    </row>
    <row r="840" spans="1:6" ht="17.100000000000001" customHeight="1">
      <c r="A840" s="575"/>
      <c r="B840" s="1277"/>
      <c r="C840" s="1278"/>
      <c r="D840" s="1285" t="s">
        <v>464</v>
      </c>
      <c r="E840" s="1286"/>
      <c r="F840" s="210">
        <f>F841</f>
        <v>134780</v>
      </c>
    </row>
    <row r="841" spans="1:6" ht="17.100000000000001" customHeight="1">
      <c r="A841" s="575"/>
      <c r="B841" s="1277"/>
      <c r="C841" s="1278"/>
      <c r="D841" s="578" t="s">
        <v>191</v>
      </c>
      <c r="E841" s="579" t="s">
        <v>192</v>
      </c>
      <c r="F841" s="210">
        <f>134780</f>
        <v>134780</v>
      </c>
    </row>
    <row r="842" spans="1:6" ht="17.100000000000001" customHeight="1">
      <c r="A842" s="575"/>
      <c r="B842" s="1265" t="s">
        <v>512</v>
      </c>
      <c r="C842" s="1266"/>
      <c r="D842" s="576"/>
      <c r="E842" s="577" t="s">
        <v>513</v>
      </c>
      <c r="F842" s="206">
        <f>F843</f>
        <v>2417099</v>
      </c>
    </row>
    <row r="843" spans="1:6" ht="17.100000000000001" customHeight="1">
      <c r="A843" s="575"/>
      <c r="B843" s="1277"/>
      <c r="C843" s="1278"/>
      <c r="D843" s="1271" t="s">
        <v>146</v>
      </c>
      <c r="E843" s="1272"/>
      <c r="F843" s="207">
        <f>F844+F857</f>
        <v>2417099</v>
      </c>
    </row>
    <row r="844" spans="1:6" ht="17.100000000000001" customHeight="1">
      <c r="A844" s="575"/>
      <c r="B844" s="1277"/>
      <c r="C844" s="1278"/>
      <c r="D844" s="1273" t="s">
        <v>147</v>
      </c>
      <c r="E844" s="1283"/>
      <c r="F844" s="210">
        <f>F845+F851</f>
        <v>2381499</v>
      </c>
    </row>
    <row r="845" spans="1:6" ht="17.100000000000001" customHeight="1">
      <c r="A845" s="575"/>
      <c r="B845" s="1277"/>
      <c r="C845" s="1278"/>
      <c r="D845" s="1275" t="s">
        <v>148</v>
      </c>
      <c r="E845" s="1284"/>
      <c r="F845" s="210">
        <f>SUM(F846:F849)</f>
        <v>2282510</v>
      </c>
    </row>
    <row r="846" spans="1:6" ht="17.100000000000001" customHeight="1">
      <c r="A846" s="575"/>
      <c r="B846" s="1277"/>
      <c r="C846" s="1278"/>
      <c r="D846" s="578" t="s">
        <v>149</v>
      </c>
      <c r="E846" s="579" t="s">
        <v>150</v>
      </c>
      <c r="F846" s="210">
        <v>1750752</v>
      </c>
    </row>
    <row r="847" spans="1:6" ht="17.100000000000001" customHeight="1">
      <c r="A847" s="575"/>
      <c r="B847" s="1277"/>
      <c r="C847" s="1278"/>
      <c r="D847" s="578" t="s">
        <v>151</v>
      </c>
      <c r="E847" s="579" t="s">
        <v>152</v>
      </c>
      <c r="F847" s="210">
        <v>142800</v>
      </c>
    </row>
    <row r="848" spans="1:6" ht="17.100000000000001" customHeight="1">
      <c r="A848" s="575"/>
      <c r="B848" s="1277"/>
      <c r="C848" s="1278"/>
      <c r="D848" s="578" t="s">
        <v>153</v>
      </c>
      <c r="E848" s="579" t="s">
        <v>154</v>
      </c>
      <c r="F848" s="210">
        <v>341796</v>
      </c>
    </row>
    <row r="849" spans="1:6" ht="17.100000000000001" customHeight="1">
      <c r="A849" s="575"/>
      <c r="B849" s="1277"/>
      <c r="C849" s="1278"/>
      <c r="D849" s="578" t="s">
        <v>155</v>
      </c>
      <c r="E849" s="579" t="s">
        <v>156</v>
      </c>
      <c r="F849" s="210">
        <v>47162</v>
      </c>
    </row>
    <row r="850" spans="1:6" ht="17.100000000000001" customHeight="1">
      <c r="A850" s="575"/>
      <c r="B850" s="1277"/>
      <c r="C850" s="1278"/>
      <c r="D850" s="1277"/>
      <c r="E850" s="1281"/>
      <c r="F850" s="1282"/>
    </row>
    <row r="851" spans="1:6" ht="17.100000000000001" customHeight="1">
      <c r="A851" s="575"/>
      <c r="B851" s="1277"/>
      <c r="C851" s="1278"/>
      <c r="D851" s="1279" t="s">
        <v>159</v>
      </c>
      <c r="E851" s="1280"/>
      <c r="F851" s="210">
        <f>SUM(F852:F855)</f>
        <v>98989</v>
      </c>
    </row>
    <row r="852" spans="1:6" ht="17.100000000000001" customHeight="1">
      <c r="A852" s="575"/>
      <c r="B852" s="1277"/>
      <c r="C852" s="1278"/>
      <c r="D852" s="578" t="s">
        <v>162</v>
      </c>
      <c r="E852" s="579" t="s">
        <v>163</v>
      </c>
      <c r="F852" s="210">
        <f>2890</f>
        <v>2890</v>
      </c>
    </row>
    <row r="853" spans="1:6" ht="17.100000000000001" customHeight="1">
      <c r="A853" s="575"/>
      <c r="B853" s="1277"/>
      <c r="C853" s="1278"/>
      <c r="D853" s="578" t="s">
        <v>353</v>
      </c>
      <c r="E853" s="579" t="s">
        <v>354</v>
      </c>
      <c r="F853" s="210">
        <f>2300</f>
        <v>2300</v>
      </c>
    </row>
    <row r="854" spans="1:6" ht="17.100000000000001" customHeight="1">
      <c r="A854" s="575"/>
      <c r="B854" s="1277"/>
      <c r="C854" s="1278"/>
      <c r="D854" s="578" t="s">
        <v>168</v>
      </c>
      <c r="E854" s="579" t="s">
        <v>169</v>
      </c>
      <c r="F854" s="210">
        <v>980</v>
      </c>
    </row>
    <row r="855" spans="1:6" ht="17.100000000000001" customHeight="1">
      <c r="A855" s="575"/>
      <c r="B855" s="1277"/>
      <c r="C855" s="1278"/>
      <c r="D855" s="578" t="s">
        <v>180</v>
      </c>
      <c r="E855" s="579" t="s">
        <v>181</v>
      </c>
      <c r="F855" s="210">
        <v>92819</v>
      </c>
    </row>
    <row r="856" spans="1:6" ht="17.100000000000001" customHeight="1">
      <c r="A856" s="575"/>
      <c r="B856" s="1277"/>
      <c r="C856" s="1278"/>
      <c r="D856" s="1277"/>
      <c r="E856" s="1281"/>
      <c r="F856" s="1282"/>
    </row>
    <row r="857" spans="1:6" ht="17.100000000000001" customHeight="1">
      <c r="A857" s="575"/>
      <c r="B857" s="1277"/>
      <c r="C857" s="1278"/>
      <c r="D857" s="1285" t="s">
        <v>464</v>
      </c>
      <c r="E857" s="1286"/>
      <c r="F857" s="210">
        <f>F858</f>
        <v>35600</v>
      </c>
    </row>
    <row r="858" spans="1:6" ht="17.100000000000001" customHeight="1">
      <c r="A858" s="575"/>
      <c r="B858" s="1303"/>
      <c r="C858" s="1320"/>
      <c r="D858" s="578" t="s">
        <v>191</v>
      </c>
      <c r="E858" s="579" t="s">
        <v>192</v>
      </c>
      <c r="F858" s="210">
        <v>35600</v>
      </c>
    </row>
    <row r="859" spans="1:6" ht="17.100000000000001" customHeight="1">
      <c r="A859" s="575"/>
      <c r="B859" s="1265" t="s">
        <v>514</v>
      </c>
      <c r="C859" s="1266"/>
      <c r="D859" s="576"/>
      <c r="E859" s="577" t="s">
        <v>515</v>
      </c>
      <c r="F859" s="206">
        <f>F860</f>
        <v>710372</v>
      </c>
    </row>
    <row r="860" spans="1:6" ht="17.100000000000001" customHeight="1">
      <c r="A860" s="575"/>
      <c r="B860" s="1267"/>
      <c r="C860" s="1268"/>
      <c r="D860" s="1271" t="s">
        <v>146</v>
      </c>
      <c r="E860" s="1272"/>
      <c r="F860" s="207">
        <f>F861+F874</f>
        <v>710372</v>
      </c>
    </row>
    <row r="861" spans="1:6" ht="17.100000000000001" customHeight="1">
      <c r="A861" s="575"/>
      <c r="B861" s="1269"/>
      <c r="C861" s="1270"/>
      <c r="D861" s="1273" t="s">
        <v>147</v>
      </c>
      <c r="E861" s="1283"/>
      <c r="F861" s="210">
        <f>F862+F868</f>
        <v>709798</v>
      </c>
    </row>
    <row r="862" spans="1:6" ht="17.100000000000001" customHeight="1">
      <c r="A862" s="575"/>
      <c r="B862" s="1269"/>
      <c r="C862" s="1270"/>
      <c r="D862" s="1275" t="s">
        <v>148</v>
      </c>
      <c r="E862" s="1284"/>
      <c r="F862" s="210">
        <f>SUM(F863:F866)</f>
        <v>671180</v>
      </c>
    </row>
    <row r="863" spans="1:6" ht="17.100000000000001" customHeight="1">
      <c r="A863" s="575"/>
      <c r="B863" s="1269"/>
      <c r="C863" s="1270"/>
      <c r="D863" s="578" t="s">
        <v>149</v>
      </c>
      <c r="E863" s="579" t="s">
        <v>150</v>
      </c>
      <c r="F863" s="210">
        <v>517526</v>
      </c>
    </row>
    <row r="864" spans="1:6" ht="17.100000000000001" customHeight="1">
      <c r="A864" s="575"/>
      <c r="B864" s="1269"/>
      <c r="C864" s="1270"/>
      <c r="D864" s="578" t="s">
        <v>151</v>
      </c>
      <c r="E864" s="579" t="s">
        <v>152</v>
      </c>
      <c r="F864" s="210">
        <v>43806</v>
      </c>
    </row>
    <row r="865" spans="1:6" ht="17.100000000000001" customHeight="1">
      <c r="A865" s="575"/>
      <c r="B865" s="1269"/>
      <c r="C865" s="1270"/>
      <c r="D865" s="578" t="s">
        <v>153</v>
      </c>
      <c r="E865" s="579" t="s">
        <v>154</v>
      </c>
      <c r="F865" s="210">
        <v>96082</v>
      </c>
    </row>
    <row r="866" spans="1:6" ht="17.100000000000001" customHeight="1">
      <c r="A866" s="575"/>
      <c r="B866" s="1269"/>
      <c r="C866" s="1270"/>
      <c r="D866" s="578" t="s">
        <v>155</v>
      </c>
      <c r="E866" s="579" t="s">
        <v>156</v>
      </c>
      <c r="F866" s="210">
        <v>13766</v>
      </c>
    </row>
    <row r="867" spans="1:6" ht="17.100000000000001" customHeight="1">
      <c r="A867" s="575"/>
      <c r="B867" s="1269"/>
      <c r="C867" s="1270"/>
      <c r="D867" s="1277"/>
      <c r="E867" s="1281"/>
      <c r="F867" s="1282"/>
    </row>
    <row r="868" spans="1:6" ht="17.100000000000001" customHeight="1">
      <c r="A868" s="575"/>
      <c r="B868" s="1269"/>
      <c r="C868" s="1270"/>
      <c r="D868" s="1279" t="s">
        <v>159</v>
      </c>
      <c r="E868" s="1280"/>
      <c r="F868" s="210">
        <f>SUM(F869:F872)</f>
        <v>38618</v>
      </c>
    </row>
    <row r="869" spans="1:6" ht="17.100000000000001" customHeight="1">
      <c r="A869" s="575"/>
      <c r="B869" s="1269"/>
      <c r="C869" s="1270"/>
      <c r="D869" s="578" t="s">
        <v>162</v>
      </c>
      <c r="E869" s="579" t="s">
        <v>163</v>
      </c>
      <c r="F869" s="210">
        <f>4100</f>
        <v>4100</v>
      </c>
    </row>
    <row r="870" spans="1:6" ht="17.100000000000001" customHeight="1">
      <c r="A870" s="575"/>
      <c r="B870" s="1269"/>
      <c r="C870" s="1270"/>
      <c r="D870" s="578" t="s">
        <v>353</v>
      </c>
      <c r="E870" s="579" t="s">
        <v>354</v>
      </c>
      <c r="F870" s="210">
        <v>3192</v>
      </c>
    </row>
    <row r="871" spans="1:6" ht="17.100000000000001" customHeight="1">
      <c r="A871" s="575"/>
      <c r="B871" s="1269"/>
      <c r="C871" s="1270"/>
      <c r="D871" s="578" t="s">
        <v>168</v>
      </c>
      <c r="E871" s="579" t="s">
        <v>169</v>
      </c>
      <c r="F871" s="210">
        <v>376</v>
      </c>
    </row>
    <row r="872" spans="1:6" ht="17.100000000000001" customHeight="1">
      <c r="A872" s="575"/>
      <c r="B872" s="1269"/>
      <c r="C872" s="1270"/>
      <c r="D872" s="578" t="s">
        <v>180</v>
      </c>
      <c r="E872" s="579" t="s">
        <v>181</v>
      </c>
      <c r="F872" s="210">
        <v>30950</v>
      </c>
    </row>
    <row r="873" spans="1:6" ht="17.100000000000001" customHeight="1">
      <c r="A873" s="575"/>
      <c r="B873" s="1289"/>
      <c r="C873" s="1344"/>
      <c r="D873" s="1277"/>
      <c r="E873" s="1291"/>
      <c r="F873" s="1292"/>
    </row>
    <row r="874" spans="1:6" ht="17.100000000000001" customHeight="1">
      <c r="A874" s="575"/>
      <c r="B874" s="1289"/>
      <c r="C874" s="1344"/>
      <c r="D874" s="1285" t="s">
        <v>464</v>
      </c>
      <c r="E874" s="1408"/>
      <c r="F874" s="210">
        <f>F875</f>
        <v>574</v>
      </c>
    </row>
    <row r="875" spans="1:6" ht="17.100000000000001" customHeight="1">
      <c r="A875" s="575"/>
      <c r="B875" s="1345"/>
      <c r="C875" s="1346"/>
      <c r="D875" s="578" t="s">
        <v>191</v>
      </c>
      <c r="E875" s="579" t="s">
        <v>192</v>
      </c>
      <c r="F875" s="210">
        <f>574</f>
        <v>574</v>
      </c>
    </row>
    <row r="876" spans="1:6" ht="17.100000000000001" customHeight="1">
      <c r="A876" s="575"/>
      <c r="B876" s="1265" t="s">
        <v>516</v>
      </c>
      <c r="C876" s="1266"/>
      <c r="D876" s="576"/>
      <c r="E876" s="577" t="s">
        <v>517</v>
      </c>
      <c r="F876" s="206">
        <f>SUM(F877+F908)</f>
        <v>18419440</v>
      </c>
    </row>
    <row r="877" spans="1:6" ht="17.100000000000001" customHeight="1">
      <c r="A877" s="575"/>
      <c r="B877" s="580"/>
      <c r="C877" s="550"/>
      <c r="D877" s="1271" t="s">
        <v>146</v>
      </c>
      <c r="E877" s="1272"/>
      <c r="F877" s="207">
        <f>F878+F904</f>
        <v>18419440</v>
      </c>
    </row>
    <row r="878" spans="1:6" ht="17.100000000000001" customHeight="1">
      <c r="A878" s="575"/>
      <c r="B878" s="580"/>
      <c r="C878" s="550"/>
      <c r="D878" s="1273" t="s">
        <v>147</v>
      </c>
      <c r="E878" s="1283"/>
      <c r="F878" s="210">
        <f>F879+F886</f>
        <v>18365909</v>
      </c>
    </row>
    <row r="879" spans="1:6" ht="17.100000000000001" customHeight="1">
      <c r="A879" s="575"/>
      <c r="B879" s="580"/>
      <c r="C879" s="550"/>
      <c r="D879" s="1275" t="s">
        <v>148</v>
      </c>
      <c r="E879" s="1284"/>
      <c r="F879" s="210">
        <f>SUM(F880:F884)</f>
        <v>16163368</v>
      </c>
    </row>
    <row r="880" spans="1:6" ht="17.100000000000001" customHeight="1">
      <c r="A880" s="575"/>
      <c r="B880" s="1277"/>
      <c r="C880" s="1278"/>
      <c r="D880" s="578" t="s">
        <v>149</v>
      </c>
      <c r="E880" s="579" t="s">
        <v>150</v>
      </c>
      <c r="F880" s="210">
        <v>12515564</v>
      </c>
    </row>
    <row r="881" spans="1:6" ht="17.100000000000001" customHeight="1">
      <c r="A881" s="575"/>
      <c r="B881" s="1277"/>
      <c r="C881" s="1278"/>
      <c r="D881" s="578" t="s">
        <v>151</v>
      </c>
      <c r="E881" s="579" t="s">
        <v>152</v>
      </c>
      <c r="F881" s="210">
        <v>1009751</v>
      </c>
    </row>
    <row r="882" spans="1:6" ht="17.100000000000001" customHeight="1">
      <c r="A882" s="575"/>
      <c r="B882" s="1277"/>
      <c r="C882" s="1278"/>
      <c r="D882" s="578" t="s">
        <v>153</v>
      </c>
      <c r="E882" s="579" t="s">
        <v>154</v>
      </c>
      <c r="F882" s="210">
        <v>2302250</v>
      </c>
    </row>
    <row r="883" spans="1:6" ht="17.100000000000001" customHeight="1">
      <c r="A883" s="575"/>
      <c r="B883" s="1277"/>
      <c r="C883" s="1278"/>
      <c r="D883" s="578" t="s">
        <v>155</v>
      </c>
      <c r="E883" s="579" t="s">
        <v>156</v>
      </c>
      <c r="F883" s="210">
        <v>307253</v>
      </c>
    </row>
    <row r="884" spans="1:6" ht="17.100000000000001" customHeight="1">
      <c r="A884" s="575"/>
      <c r="B884" s="1277"/>
      <c r="C884" s="1278"/>
      <c r="D884" s="583" t="s">
        <v>157</v>
      </c>
      <c r="E884" s="584" t="s">
        <v>158</v>
      </c>
      <c r="F884" s="585">
        <v>28550</v>
      </c>
    </row>
    <row r="885" spans="1:6" ht="17.100000000000001" customHeight="1">
      <c r="A885" s="575"/>
      <c r="B885" s="1277"/>
      <c r="C885" s="1281"/>
      <c r="D885" s="1405"/>
      <c r="E885" s="1406"/>
      <c r="F885" s="1407"/>
    </row>
    <row r="886" spans="1:6" ht="17.100000000000001" customHeight="1">
      <c r="A886" s="575"/>
      <c r="B886" s="580"/>
      <c r="C886" s="550"/>
      <c r="D886" s="1279" t="s">
        <v>159</v>
      </c>
      <c r="E886" s="1280"/>
      <c r="F886" s="640">
        <f>SUM(F887:F902)</f>
        <v>2202541</v>
      </c>
    </row>
    <row r="887" spans="1:6" ht="17.100000000000001" customHeight="1">
      <c r="A887" s="575"/>
      <c r="B887" s="580"/>
      <c r="C887" s="550"/>
      <c r="D887" s="578" t="s">
        <v>160</v>
      </c>
      <c r="E887" s="579" t="s">
        <v>161</v>
      </c>
      <c r="F887" s="210">
        <f>31200</f>
        <v>31200</v>
      </c>
    </row>
    <row r="888" spans="1:6" ht="17.100000000000001" customHeight="1">
      <c r="A888" s="575"/>
      <c r="B888" s="1277"/>
      <c r="C888" s="1278"/>
      <c r="D888" s="578" t="s">
        <v>162</v>
      </c>
      <c r="E888" s="579" t="s">
        <v>163</v>
      </c>
      <c r="F888" s="210">
        <v>149879</v>
      </c>
    </row>
    <row r="889" spans="1:6" ht="17.100000000000001" customHeight="1">
      <c r="A889" s="575"/>
      <c r="B889" s="1277"/>
      <c r="C889" s="1278"/>
      <c r="D889" s="578" t="s">
        <v>353</v>
      </c>
      <c r="E889" s="579" t="s">
        <v>354</v>
      </c>
      <c r="F889" s="210">
        <v>234900</v>
      </c>
    </row>
    <row r="890" spans="1:6" ht="17.100000000000001" customHeight="1">
      <c r="A890" s="575"/>
      <c r="B890" s="1277"/>
      <c r="C890" s="1278"/>
      <c r="D890" s="578" t="s">
        <v>164</v>
      </c>
      <c r="E890" s="579" t="s">
        <v>165</v>
      </c>
      <c r="F890" s="210">
        <v>598788</v>
      </c>
    </row>
    <row r="891" spans="1:6" ht="17.100000000000001" customHeight="1">
      <c r="A891" s="575"/>
      <c r="B891" s="1277"/>
      <c r="C891" s="1278"/>
      <c r="D891" s="578" t="s">
        <v>166</v>
      </c>
      <c r="E891" s="579" t="s">
        <v>167</v>
      </c>
      <c r="F891" s="210">
        <v>53320</v>
      </c>
    </row>
    <row r="892" spans="1:6" ht="17.100000000000001" customHeight="1">
      <c r="A892" s="575"/>
      <c r="B892" s="1277"/>
      <c r="C892" s="1278"/>
      <c r="D892" s="578" t="s">
        <v>168</v>
      </c>
      <c r="E892" s="579" t="s">
        <v>169</v>
      </c>
      <c r="F892" s="210">
        <v>16461</v>
      </c>
    </row>
    <row r="893" spans="1:6" ht="17.100000000000001" customHeight="1">
      <c r="A893" s="575"/>
      <c r="B893" s="1277"/>
      <c r="C893" s="1278"/>
      <c r="D893" s="578" t="s">
        <v>170</v>
      </c>
      <c r="E893" s="579" t="s">
        <v>171</v>
      </c>
      <c r="F893" s="210">
        <v>299805</v>
      </c>
    </row>
    <row r="894" spans="1:6" ht="25.5" hidden="1">
      <c r="A894" s="575"/>
      <c r="B894" s="580"/>
      <c r="C894" s="550"/>
      <c r="D894" s="578" t="s">
        <v>518</v>
      </c>
      <c r="E894" s="579" t="s">
        <v>519</v>
      </c>
      <c r="F894" s="210"/>
    </row>
    <row r="895" spans="1:6" ht="16.5" customHeight="1">
      <c r="A895" s="575"/>
      <c r="B895" s="1277"/>
      <c r="C895" s="1278"/>
      <c r="D895" s="578" t="s">
        <v>172</v>
      </c>
      <c r="E895" s="579" t="s">
        <v>173</v>
      </c>
      <c r="F895" s="210">
        <v>37577</v>
      </c>
    </row>
    <row r="896" spans="1:6" ht="16.5" customHeight="1">
      <c r="A896" s="575"/>
      <c r="B896" s="1277"/>
      <c r="C896" s="1278"/>
      <c r="D896" s="578" t="s">
        <v>257</v>
      </c>
      <c r="E896" s="579" t="s">
        <v>258</v>
      </c>
      <c r="F896" s="210">
        <v>1430</v>
      </c>
    </row>
    <row r="897" spans="1:7" ht="16.5" customHeight="1">
      <c r="A897" s="575"/>
      <c r="B897" s="1277"/>
      <c r="C897" s="1278"/>
      <c r="D897" s="578" t="s">
        <v>174</v>
      </c>
      <c r="E897" s="579" t="s">
        <v>175</v>
      </c>
      <c r="F897" s="210">
        <v>7800</v>
      </c>
    </row>
    <row r="898" spans="1:7" ht="17.100000000000001" customHeight="1">
      <c r="A898" s="575"/>
      <c r="B898" s="1277"/>
      <c r="C898" s="1278"/>
      <c r="D898" s="578" t="s">
        <v>176</v>
      </c>
      <c r="E898" s="579" t="s">
        <v>177</v>
      </c>
      <c r="F898" s="210">
        <v>21840</v>
      </c>
    </row>
    <row r="899" spans="1:7" ht="17.100000000000001" customHeight="1">
      <c r="A899" s="575"/>
      <c r="B899" s="1277"/>
      <c r="C899" s="1278"/>
      <c r="D899" s="578" t="s">
        <v>178</v>
      </c>
      <c r="E899" s="579" t="s">
        <v>179</v>
      </c>
      <c r="F899" s="210">
        <v>22830</v>
      </c>
    </row>
    <row r="900" spans="1:7" ht="17.100000000000001" customHeight="1">
      <c r="A900" s="575"/>
      <c r="B900" s="1277"/>
      <c r="C900" s="1278"/>
      <c r="D900" s="578" t="s">
        <v>180</v>
      </c>
      <c r="E900" s="579" t="s">
        <v>181</v>
      </c>
      <c r="F900" s="210">
        <v>676063</v>
      </c>
    </row>
    <row r="901" spans="1:7" ht="17.100000000000001" customHeight="1">
      <c r="A901" s="575"/>
      <c r="B901" s="580"/>
      <c r="C901" s="550"/>
      <c r="D901" s="578" t="s">
        <v>186</v>
      </c>
      <c r="E901" s="579" t="s">
        <v>520</v>
      </c>
      <c r="F901" s="210">
        <v>40668</v>
      </c>
    </row>
    <row r="902" spans="1:7" ht="17.100000000000001" customHeight="1">
      <c r="A902" s="575"/>
      <c r="B902" s="1277"/>
      <c r="C902" s="1278"/>
      <c r="D902" s="578" t="s">
        <v>188</v>
      </c>
      <c r="E902" s="579" t="s">
        <v>189</v>
      </c>
      <c r="F902" s="210">
        <v>9980</v>
      </c>
    </row>
    <row r="903" spans="1:7" ht="17.100000000000001" customHeight="1">
      <c r="A903" s="575"/>
      <c r="B903" s="580"/>
      <c r="C903" s="550"/>
      <c r="D903" s="1277"/>
      <c r="E903" s="1281"/>
      <c r="F903" s="1282"/>
    </row>
    <row r="904" spans="1:7" ht="17.100000000000001" customHeight="1">
      <c r="A904" s="575"/>
      <c r="B904" s="580"/>
      <c r="C904" s="550"/>
      <c r="D904" s="1285" t="s">
        <v>464</v>
      </c>
      <c r="E904" s="1286"/>
      <c r="F904" s="210">
        <f>F905+F906</f>
        <v>53531</v>
      </c>
    </row>
    <row r="905" spans="1:7" ht="17.100000000000001" customHeight="1">
      <c r="A905" s="575"/>
      <c r="B905" s="580"/>
      <c r="C905" s="550"/>
      <c r="D905" s="583" t="s">
        <v>191</v>
      </c>
      <c r="E905" s="584" t="s">
        <v>192</v>
      </c>
      <c r="F905" s="585">
        <f>53531</f>
        <v>53531</v>
      </c>
    </row>
    <row r="906" spans="1:7" ht="17.100000000000001" hidden="1" customHeight="1">
      <c r="A906" s="575"/>
      <c r="B906" s="580"/>
      <c r="C906" s="551"/>
      <c r="D906" s="211" t="s">
        <v>521</v>
      </c>
      <c r="E906" s="559" t="s">
        <v>522</v>
      </c>
      <c r="F906" s="210">
        <v>0</v>
      </c>
    </row>
    <row r="907" spans="1:7" ht="17.100000000000001" hidden="1" customHeight="1">
      <c r="A907" s="575"/>
      <c r="B907" s="580"/>
      <c r="C907" s="550"/>
      <c r="D907" s="1277"/>
      <c r="E907" s="1281"/>
      <c r="F907" s="1282"/>
    </row>
    <row r="908" spans="1:7" ht="17.100000000000001" hidden="1" customHeight="1">
      <c r="A908" s="575"/>
      <c r="B908" s="580"/>
      <c r="C908" s="550"/>
      <c r="D908" s="1312" t="s">
        <v>202</v>
      </c>
      <c r="E908" s="1313"/>
      <c r="F908" s="207">
        <f>F909</f>
        <v>0</v>
      </c>
    </row>
    <row r="909" spans="1:7" ht="17.100000000000001" hidden="1" customHeight="1">
      <c r="A909" s="575"/>
      <c r="B909" s="580"/>
      <c r="C909" s="550"/>
      <c r="D909" s="1285" t="s">
        <v>203</v>
      </c>
      <c r="E909" s="1348"/>
      <c r="F909" s="210">
        <f>F910</f>
        <v>0</v>
      </c>
    </row>
    <row r="910" spans="1:7" hidden="1">
      <c r="A910" s="575"/>
      <c r="B910" s="580"/>
      <c r="C910" s="550"/>
      <c r="D910" s="531" t="s">
        <v>245</v>
      </c>
      <c r="E910" s="532" t="s">
        <v>246</v>
      </c>
      <c r="F910" s="210">
        <v>0</v>
      </c>
      <c r="G910" s="213"/>
    </row>
    <row r="911" spans="1:7" ht="17.100000000000001" hidden="1" customHeight="1">
      <c r="A911" s="575"/>
      <c r="B911" s="1265" t="s">
        <v>523</v>
      </c>
      <c r="C911" s="1266"/>
      <c r="D911" s="576"/>
      <c r="E911" s="577" t="s">
        <v>524</v>
      </c>
      <c r="F911" s="206">
        <f>F912</f>
        <v>0</v>
      </c>
    </row>
    <row r="912" spans="1:7" ht="17.100000000000001" hidden="1" customHeight="1">
      <c r="A912" s="575"/>
      <c r="B912" s="580"/>
      <c r="C912" s="550"/>
      <c r="D912" s="1271" t="s">
        <v>146</v>
      </c>
      <c r="E912" s="1272"/>
      <c r="F912" s="207">
        <f>F913+F936</f>
        <v>0</v>
      </c>
    </row>
    <row r="913" spans="1:6" ht="17.100000000000001" hidden="1" customHeight="1">
      <c r="A913" s="575"/>
      <c r="B913" s="580"/>
      <c r="C913" s="550"/>
      <c r="D913" s="1273" t="s">
        <v>147</v>
      </c>
      <c r="E913" s="1283"/>
      <c r="F913" s="210">
        <f>F914+F921</f>
        <v>0</v>
      </c>
    </row>
    <row r="914" spans="1:6" ht="17.100000000000001" hidden="1" customHeight="1">
      <c r="A914" s="575"/>
      <c r="B914" s="580"/>
      <c r="C914" s="550"/>
      <c r="D914" s="1275" t="s">
        <v>148</v>
      </c>
      <c r="E914" s="1284"/>
      <c r="F914" s="210">
        <f>SUM(F915:F919)</f>
        <v>0</v>
      </c>
    </row>
    <row r="915" spans="1:6" ht="17.100000000000001" hidden="1" customHeight="1">
      <c r="A915" s="575"/>
      <c r="B915" s="1277"/>
      <c r="C915" s="1278"/>
      <c r="D915" s="578" t="s">
        <v>149</v>
      </c>
      <c r="E915" s="579" t="s">
        <v>150</v>
      </c>
      <c r="F915" s="210">
        <v>0</v>
      </c>
    </row>
    <row r="916" spans="1:6" ht="17.100000000000001" hidden="1" customHeight="1">
      <c r="A916" s="575"/>
      <c r="B916" s="1277"/>
      <c r="C916" s="1278"/>
      <c r="D916" s="578" t="s">
        <v>151</v>
      </c>
      <c r="E916" s="579" t="s">
        <v>152</v>
      </c>
      <c r="F916" s="210">
        <v>0</v>
      </c>
    </row>
    <row r="917" spans="1:6" ht="17.100000000000001" hidden="1" customHeight="1">
      <c r="A917" s="575"/>
      <c r="B917" s="1277"/>
      <c r="C917" s="1278"/>
      <c r="D917" s="578" t="s">
        <v>153</v>
      </c>
      <c r="E917" s="579" t="s">
        <v>154</v>
      </c>
      <c r="F917" s="210">
        <v>0</v>
      </c>
    </row>
    <row r="918" spans="1:6" ht="17.100000000000001" hidden="1" customHeight="1">
      <c r="A918" s="575"/>
      <c r="B918" s="1277"/>
      <c r="C918" s="1278"/>
      <c r="D918" s="583" t="s">
        <v>155</v>
      </c>
      <c r="E918" s="579" t="s">
        <v>156</v>
      </c>
      <c r="F918" s="210">
        <v>0</v>
      </c>
    </row>
    <row r="919" spans="1:6" ht="17.100000000000001" hidden="1" customHeight="1">
      <c r="A919" s="575"/>
      <c r="B919" s="1277"/>
      <c r="C919" s="1278"/>
      <c r="D919" s="578" t="s">
        <v>157</v>
      </c>
      <c r="E919" s="579" t="s">
        <v>158</v>
      </c>
      <c r="F919" s="210">
        <v>0</v>
      </c>
    </row>
    <row r="920" spans="1:6" ht="17.100000000000001" hidden="1" customHeight="1">
      <c r="A920" s="575"/>
      <c r="B920" s="580"/>
      <c r="C920" s="550"/>
      <c r="D920" s="1277"/>
      <c r="E920" s="1281"/>
      <c r="F920" s="1282"/>
    </row>
    <row r="921" spans="1:6" ht="17.100000000000001" hidden="1" customHeight="1">
      <c r="A921" s="575"/>
      <c r="B921" s="580"/>
      <c r="C921" s="550"/>
      <c r="D921" s="1279" t="s">
        <v>159</v>
      </c>
      <c r="E921" s="1280"/>
      <c r="F921" s="210">
        <f>SUM(F922:F934)</f>
        <v>0</v>
      </c>
    </row>
    <row r="922" spans="1:6" ht="17.100000000000001" hidden="1" customHeight="1">
      <c r="A922" s="575"/>
      <c r="B922" s="580"/>
      <c r="C922" s="550"/>
      <c r="D922" s="578" t="s">
        <v>160</v>
      </c>
      <c r="E922" s="579" t="s">
        <v>161</v>
      </c>
      <c r="F922" s="210">
        <v>0</v>
      </c>
    </row>
    <row r="923" spans="1:6" ht="17.100000000000001" hidden="1" customHeight="1">
      <c r="A923" s="575"/>
      <c r="B923" s="1277"/>
      <c r="C923" s="1278"/>
      <c r="D923" s="578" t="s">
        <v>162</v>
      </c>
      <c r="E923" s="579" t="s">
        <v>163</v>
      </c>
      <c r="F923" s="210">
        <v>0</v>
      </c>
    </row>
    <row r="924" spans="1:6" ht="17.100000000000001" hidden="1" customHeight="1">
      <c r="A924" s="575"/>
      <c r="B924" s="1277"/>
      <c r="C924" s="1278"/>
      <c r="D924" s="578" t="s">
        <v>164</v>
      </c>
      <c r="E924" s="579" t="s">
        <v>165</v>
      </c>
      <c r="F924" s="210">
        <v>0</v>
      </c>
    </row>
    <row r="925" spans="1:6" ht="17.100000000000001" hidden="1" customHeight="1">
      <c r="A925" s="575"/>
      <c r="B925" s="580"/>
      <c r="C925" s="550"/>
      <c r="D925" s="578" t="s">
        <v>166</v>
      </c>
      <c r="E925" s="579" t="s">
        <v>167</v>
      </c>
      <c r="F925" s="210">
        <v>0</v>
      </c>
    </row>
    <row r="926" spans="1:6" ht="17.100000000000001" hidden="1" customHeight="1">
      <c r="A926" s="575"/>
      <c r="B926" s="1277"/>
      <c r="C926" s="1278"/>
      <c r="D926" s="578" t="s">
        <v>168</v>
      </c>
      <c r="E926" s="579" t="s">
        <v>169</v>
      </c>
      <c r="F926" s="210">
        <v>0</v>
      </c>
    </row>
    <row r="927" spans="1:6" ht="17.100000000000001" hidden="1" customHeight="1">
      <c r="A927" s="575"/>
      <c r="B927" s="1277"/>
      <c r="C927" s="1278"/>
      <c r="D927" s="578" t="s">
        <v>170</v>
      </c>
      <c r="E927" s="579" t="s">
        <v>171</v>
      </c>
      <c r="F927" s="210">
        <v>0</v>
      </c>
    </row>
    <row r="928" spans="1:6" ht="17.100000000000001" hidden="1" customHeight="1">
      <c r="A928" s="575"/>
      <c r="B928" s="1277"/>
      <c r="C928" s="1278"/>
      <c r="D928" s="578" t="s">
        <v>266</v>
      </c>
      <c r="E928" s="579" t="s">
        <v>267</v>
      </c>
      <c r="F928" s="210">
        <v>0</v>
      </c>
    </row>
    <row r="929" spans="1:6" ht="27" hidden="1" customHeight="1">
      <c r="A929" s="575"/>
      <c r="B929" s="1277"/>
      <c r="C929" s="1278"/>
      <c r="D929" s="578" t="s">
        <v>375</v>
      </c>
      <c r="E929" s="579" t="s">
        <v>376</v>
      </c>
      <c r="F929" s="210">
        <v>0</v>
      </c>
    </row>
    <row r="930" spans="1:6" ht="17.100000000000001" hidden="1" customHeight="1">
      <c r="A930" s="575"/>
      <c r="B930" s="1277"/>
      <c r="C930" s="1278"/>
      <c r="D930" s="578" t="s">
        <v>176</v>
      </c>
      <c r="E930" s="579" t="s">
        <v>177</v>
      </c>
      <c r="F930" s="210">
        <v>0</v>
      </c>
    </row>
    <row r="931" spans="1:6" ht="17.100000000000001" hidden="1" customHeight="1">
      <c r="A931" s="575"/>
      <c r="B931" s="1277"/>
      <c r="C931" s="1278"/>
      <c r="D931" s="578" t="s">
        <v>178</v>
      </c>
      <c r="E931" s="579" t="s">
        <v>179</v>
      </c>
      <c r="F931" s="210">
        <v>0</v>
      </c>
    </row>
    <row r="932" spans="1:6" ht="17.100000000000001" hidden="1" customHeight="1">
      <c r="A932" s="575"/>
      <c r="B932" s="1277"/>
      <c r="C932" s="1278"/>
      <c r="D932" s="578" t="s">
        <v>180</v>
      </c>
      <c r="E932" s="579" t="s">
        <v>181</v>
      </c>
      <c r="F932" s="210">
        <v>0</v>
      </c>
    </row>
    <row r="933" spans="1:6" ht="17.100000000000001" hidden="1" customHeight="1">
      <c r="A933" s="575"/>
      <c r="B933" s="580"/>
      <c r="C933" s="550"/>
      <c r="D933" s="578" t="s">
        <v>186</v>
      </c>
      <c r="E933" s="579" t="s">
        <v>520</v>
      </c>
      <c r="F933" s="210">
        <v>0</v>
      </c>
    </row>
    <row r="934" spans="1:6" ht="17.100000000000001" hidden="1" customHeight="1">
      <c r="A934" s="575"/>
      <c r="B934" s="1277"/>
      <c r="C934" s="1278"/>
      <c r="D934" s="578" t="s">
        <v>188</v>
      </c>
      <c r="E934" s="579" t="s">
        <v>189</v>
      </c>
      <c r="F934" s="210">
        <v>0</v>
      </c>
    </row>
    <row r="935" spans="1:6" ht="17.100000000000001" hidden="1" customHeight="1">
      <c r="A935" s="575"/>
      <c r="B935" s="1277"/>
      <c r="C935" s="1278"/>
      <c r="D935" s="1277"/>
      <c r="E935" s="1281"/>
      <c r="F935" s="1282"/>
    </row>
    <row r="936" spans="1:6" ht="17.100000000000001" hidden="1" customHeight="1">
      <c r="A936" s="575"/>
      <c r="B936" s="1277"/>
      <c r="C936" s="1278"/>
      <c r="D936" s="1285" t="s">
        <v>464</v>
      </c>
      <c r="E936" s="1286"/>
      <c r="F936" s="210">
        <f>F937</f>
        <v>0</v>
      </c>
    </row>
    <row r="937" spans="1:6" ht="17.100000000000001" hidden="1" customHeight="1">
      <c r="A937" s="575"/>
      <c r="B937" s="1303"/>
      <c r="C937" s="1320"/>
      <c r="D937" s="578" t="s">
        <v>191</v>
      </c>
      <c r="E937" s="579" t="s">
        <v>192</v>
      </c>
      <c r="F937" s="210">
        <v>0</v>
      </c>
    </row>
    <row r="938" spans="1:6" ht="17.100000000000001" customHeight="1">
      <c r="A938" s="575"/>
      <c r="B938" s="1265" t="s">
        <v>525</v>
      </c>
      <c r="C938" s="1266"/>
      <c r="D938" s="576"/>
      <c r="E938" s="577" t="s">
        <v>526</v>
      </c>
      <c r="F938" s="206">
        <f>F939</f>
        <v>7688468</v>
      </c>
    </row>
    <row r="939" spans="1:6" ht="17.100000000000001" customHeight="1">
      <c r="A939" s="575"/>
      <c r="B939" s="580"/>
      <c r="C939" s="550"/>
      <c r="D939" s="1271" t="s">
        <v>146</v>
      </c>
      <c r="E939" s="1272"/>
      <c r="F939" s="207">
        <f>F940+F961+F964</f>
        <v>7688468</v>
      </c>
    </row>
    <row r="940" spans="1:6" ht="17.100000000000001" customHeight="1">
      <c r="A940" s="575"/>
      <c r="B940" s="580"/>
      <c r="C940" s="550"/>
      <c r="D940" s="1273" t="s">
        <v>147</v>
      </c>
      <c r="E940" s="1283"/>
      <c r="F940" s="210">
        <f>F941+F948</f>
        <v>7673868</v>
      </c>
    </row>
    <row r="941" spans="1:6" ht="17.100000000000001" customHeight="1">
      <c r="A941" s="575"/>
      <c r="B941" s="580"/>
      <c r="C941" s="550"/>
      <c r="D941" s="1275" t="s">
        <v>148</v>
      </c>
      <c r="E941" s="1284"/>
      <c r="F941" s="210">
        <f>SUM(F942:F946)</f>
        <v>7002249</v>
      </c>
    </row>
    <row r="942" spans="1:6" ht="17.100000000000001" customHeight="1">
      <c r="A942" s="575"/>
      <c r="B942" s="1277"/>
      <c r="C942" s="1278"/>
      <c r="D942" s="578" t="s">
        <v>149</v>
      </c>
      <c r="E942" s="579" t="s">
        <v>150</v>
      </c>
      <c r="F942" s="210">
        <v>5551384</v>
      </c>
    </row>
    <row r="943" spans="1:6" ht="17.100000000000001" customHeight="1">
      <c r="A943" s="575"/>
      <c r="B943" s="580"/>
      <c r="C943" s="550"/>
      <c r="D943" s="578" t="s">
        <v>151</v>
      </c>
      <c r="E943" s="579" t="s">
        <v>152</v>
      </c>
      <c r="F943" s="210">
        <v>461411</v>
      </c>
    </row>
    <row r="944" spans="1:6" ht="17.100000000000001" customHeight="1">
      <c r="A944" s="575"/>
      <c r="B944" s="580"/>
      <c r="C944" s="550"/>
      <c r="D944" s="578" t="s">
        <v>153</v>
      </c>
      <c r="E944" s="579" t="s">
        <v>154</v>
      </c>
      <c r="F944" s="210">
        <v>847038</v>
      </c>
    </row>
    <row r="945" spans="1:6" ht="17.100000000000001" customHeight="1">
      <c r="A945" s="575"/>
      <c r="B945" s="580"/>
      <c r="C945" s="550"/>
      <c r="D945" s="578" t="s">
        <v>155</v>
      </c>
      <c r="E945" s="579" t="s">
        <v>156</v>
      </c>
      <c r="F945" s="210">
        <v>108832</v>
      </c>
    </row>
    <row r="946" spans="1:6" ht="17.100000000000001" customHeight="1">
      <c r="A946" s="575"/>
      <c r="B946" s="580"/>
      <c r="C946" s="550"/>
      <c r="D946" s="578" t="s">
        <v>157</v>
      </c>
      <c r="E946" s="579" t="s">
        <v>158</v>
      </c>
      <c r="F946" s="210">
        <v>33584</v>
      </c>
    </row>
    <row r="947" spans="1:6" ht="17.100000000000001" customHeight="1">
      <c r="A947" s="575"/>
      <c r="B947" s="580"/>
      <c r="C947" s="550"/>
      <c r="D947" s="1277"/>
      <c r="E947" s="1281"/>
      <c r="F947" s="1282"/>
    </row>
    <row r="948" spans="1:6" ht="17.100000000000001" customHeight="1">
      <c r="A948" s="575"/>
      <c r="B948" s="580"/>
      <c r="C948" s="550"/>
      <c r="D948" s="1279" t="s">
        <v>159</v>
      </c>
      <c r="E948" s="1280"/>
      <c r="F948" s="210">
        <f>SUM(F949:F959)</f>
        <v>671619</v>
      </c>
    </row>
    <row r="949" spans="1:6" ht="17.100000000000001" customHeight="1">
      <c r="A949" s="575"/>
      <c r="B949" s="580"/>
      <c r="C949" s="550"/>
      <c r="D949" s="578" t="s">
        <v>160</v>
      </c>
      <c r="E949" s="579" t="s">
        <v>161</v>
      </c>
      <c r="F949" s="210">
        <f>51252</f>
        <v>51252</v>
      </c>
    </row>
    <row r="950" spans="1:6" ht="17.100000000000001" customHeight="1">
      <c r="A950" s="575"/>
      <c r="B950" s="580"/>
      <c r="C950" s="550"/>
      <c r="D950" s="578" t="s">
        <v>162</v>
      </c>
      <c r="E950" s="579" t="s">
        <v>163</v>
      </c>
      <c r="F950" s="210">
        <v>9878</v>
      </c>
    </row>
    <row r="951" spans="1:6" ht="17.100000000000001" customHeight="1">
      <c r="A951" s="575"/>
      <c r="B951" s="580"/>
      <c r="C951" s="550"/>
      <c r="D951" s="578" t="s">
        <v>164</v>
      </c>
      <c r="E951" s="579" t="s">
        <v>165</v>
      </c>
      <c r="F951" s="210">
        <f>78417</f>
        <v>78417</v>
      </c>
    </row>
    <row r="952" spans="1:6" ht="17.100000000000001" customHeight="1">
      <c r="A952" s="575"/>
      <c r="B952" s="580"/>
      <c r="C952" s="550"/>
      <c r="D952" s="578" t="s">
        <v>166</v>
      </c>
      <c r="E952" s="579" t="s">
        <v>167</v>
      </c>
      <c r="F952" s="210">
        <v>100000</v>
      </c>
    </row>
    <row r="953" spans="1:6" ht="17.100000000000001" customHeight="1">
      <c r="A953" s="575"/>
      <c r="B953" s="580"/>
      <c r="C953" s="550"/>
      <c r="D953" s="578" t="s">
        <v>168</v>
      </c>
      <c r="E953" s="579" t="s">
        <v>169</v>
      </c>
      <c r="F953" s="210">
        <f>12306</f>
        <v>12306</v>
      </c>
    </row>
    <row r="954" spans="1:6" ht="17.100000000000001" customHeight="1">
      <c r="A954" s="575"/>
      <c r="B954" s="580"/>
      <c r="C954" s="550"/>
      <c r="D954" s="578" t="s">
        <v>170</v>
      </c>
      <c r="E954" s="579" t="s">
        <v>171</v>
      </c>
      <c r="F954" s="210">
        <v>48593</v>
      </c>
    </row>
    <row r="955" spans="1:6" ht="17.100000000000001" hidden="1" customHeight="1">
      <c r="A955" s="575"/>
      <c r="B955" s="580"/>
      <c r="C955" s="550"/>
      <c r="D955" s="578" t="s">
        <v>266</v>
      </c>
      <c r="E955" s="579" t="s">
        <v>267</v>
      </c>
      <c r="F955" s="210"/>
    </row>
    <row r="956" spans="1:6" ht="17.100000000000001" customHeight="1">
      <c r="A956" s="575"/>
      <c r="B956" s="580"/>
      <c r="C956" s="550"/>
      <c r="D956" s="578" t="s">
        <v>176</v>
      </c>
      <c r="E956" s="579" t="s">
        <v>177</v>
      </c>
      <c r="F956" s="210">
        <v>50112</v>
      </c>
    </row>
    <row r="957" spans="1:6" ht="17.100000000000001" hidden="1" customHeight="1">
      <c r="A957" s="575"/>
      <c r="B957" s="580"/>
      <c r="C957" s="550"/>
      <c r="D957" s="578" t="s">
        <v>178</v>
      </c>
      <c r="E957" s="579" t="s">
        <v>179</v>
      </c>
      <c r="F957" s="210"/>
    </row>
    <row r="958" spans="1:6" ht="17.100000000000001" customHeight="1">
      <c r="A958" s="575"/>
      <c r="B958" s="580"/>
      <c r="C958" s="550"/>
      <c r="D958" s="578" t="s">
        <v>180</v>
      </c>
      <c r="E958" s="579" t="s">
        <v>181</v>
      </c>
      <c r="F958" s="210">
        <v>234575</v>
      </c>
    </row>
    <row r="959" spans="1:6" ht="17.100000000000001" customHeight="1">
      <c r="A959" s="575"/>
      <c r="B959" s="580"/>
      <c r="C959" s="550"/>
      <c r="D959" s="578" t="s">
        <v>188</v>
      </c>
      <c r="E959" s="579" t="s">
        <v>189</v>
      </c>
      <c r="F959" s="210">
        <v>86486</v>
      </c>
    </row>
    <row r="960" spans="1:6" ht="17.100000000000001" customHeight="1">
      <c r="A960" s="575"/>
      <c r="B960" s="580"/>
      <c r="C960" s="550"/>
      <c r="D960" s="1277"/>
      <c r="E960" s="1281"/>
      <c r="F960" s="1282"/>
    </row>
    <row r="961" spans="1:6" ht="17.100000000000001" customHeight="1">
      <c r="A961" s="575"/>
      <c r="B961" s="1277"/>
      <c r="C961" s="1278"/>
      <c r="D961" s="1409" t="s">
        <v>464</v>
      </c>
      <c r="E961" s="1410"/>
      <c r="F961" s="641">
        <f>F962</f>
        <v>14600</v>
      </c>
    </row>
    <row r="962" spans="1:6" ht="17.100000000000001" customHeight="1">
      <c r="A962" s="575"/>
      <c r="B962" s="580"/>
      <c r="C962" s="551"/>
      <c r="D962" s="553" t="s">
        <v>191</v>
      </c>
      <c r="E962" s="230" t="s">
        <v>192</v>
      </c>
      <c r="F962" s="208">
        <v>14600</v>
      </c>
    </row>
    <row r="963" spans="1:6" ht="17.100000000000001" hidden="1" customHeight="1">
      <c r="A963" s="575"/>
      <c r="B963" s="580"/>
      <c r="C963" s="551"/>
      <c r="D963" s="231"/>
      <c r="E963" s="232"/>
      <c r="F963" s="208"/>
    </row>
    <row r="964" spans="1:6" ht="17.100000000000001" hidden="1" customHeight="1">
      <c r="A964" s="575"/>
      <c r="B964" s="580"/>
      <c r="C964" s="550"/>
      <c r="D964" s="1411" t="s">
        <v>213</v>
      </c>
      <c r="E964" s="1283"/>
      <c r="F964" s="210">
        <f>SUM(F965:F993)</f>
        <v>0</v>
      </c>
    </row>
    <row r="965" spans="1:6" ht="38.25" hidden="1">
      <c r="A965" s="575"/>
      <c r="B965" s="580"/>
      <c r="C965" s="551"/>
      <c r="D965" s="233" t="s">
        <v>527</v>
      </c>
      <c r="E965" s="579" t="s">
        <v>280</v>
      </c>
      <c r="F965" s="210">
        <v>0</v>
      </c>
    </row>
    <row r="966" spans="1:6" ht="38.25" hidden="1">
      <c r="A966" s="575"/>
      <c r="B966" s="580"/>
      <c r="C966" s="551"/>
      <c r="D966" s="642" t="s">
        <v>279</v>
      </c>
      <c r="E966" s="579" t="s">
        <v>280</v>
      </c>
      <c r="F966" s="210">
        <v>0</v>
      </c>
    </row>
    <row r="967" spans="1:6" ht="17.100000000000001" hidden="1" customHeight="1">
      <c r="A967" s="575"/>
      <c r="B967" s="580"/>
      <c r="C967" s="550"/>
      <c r="D967" s="531" t="s">
        <v>528</v>
      </c>
      <c r="E967" s="579" t="s">
        <v>192</v>
      </c>
      <c r="F967" s="210"/>
    </row>
    <row r="968" spans="1:6" ht="17.100000000000001" hidden="1" customHeight="1">
      <c r="A968" s="575"/>
      <c r="B968" s="580"/>
      <c r="C968" s="550"/>
      <c r="D968" s="578" t="s">
        <v>390</v>
      </c>
      <c r="E968" s="579" t="s">
        <v>192</v>
      </c>
      <c r="F968" s="210"/>
    </row>
    <row r="969" spans="1:6" ht="17.100000000000001" hidden="1" customHeight="1">
      <c r="A969" s="575"/>
      <c r="B969" s="1277"/>
      <c r="C969" s="1278"/>
      <c r="D969" s="578" t="s">
        <v>335</v>
      </c>
      <c r="E969" s="579" t="s">
        <v>150</v>
      </c>
      <c r="F969" s="210">
        <v>0</v>
      </c>
    </row>
    <row r="970" spans="1:6" ht="17.100000000000001" hidden="1" customHeight="1">
      <c r="A970" s="575"/>
      <c r="B970" s="1277"/>
      <c r="C970" s="1278"/>
      <c r="D970" s="578" t="s">
        <v>215</v>
      </c>
      <c r="E970" s="579" t="s">
        <v>150</v>
      </c>
      <c r="F970" s="210">
        <v>0</v>
      </c>
    </row>
    <row r="971" spans="1:6" ht="17.100000000000001" hidden="1" customHeight="1">
      <c r="A971" s="575"/>
      <c r="B971" s="1277"/>
      <c r="C971" s="1278"/>
      <c r="D971" s="578" t="s">
        <v>428</v>
      </c>
      <c r="E971" s="579" t="s">
        <v>152</v>
      </c>
      <c r="F971" s="210">
        <v>0</v>
      </c>
    </row>
    <row r="972" spans="1:6" ht="17.100000000000001" hidden="1" customHeight="1">
      <c r="A972" s="575"/>
      <c r="B972" s="1277"/>
      <c r="C972" s="1278"/>
      <c r="D972" s="578" t="s">
        <v>217</v>
      </c>
      <c r="E972" s="579" t="s">
        <v>152</v>
      </c>
      <c r="F972" s="210">
        <v>0</v>
      </c>
    </row>
    <row r="973" spans="1:6" ht="17.100000000000001" hidden="1" customHeight="1">
      <c r="A973" s="575"/>
      <c r="B973" s="1277"/>
      <c r="C973" s="1278"/>
      <c r="D973" s="578" t="s">
        <v>336</v>
      </c>
      <c r="E973" s="579" t="s">
        <v>154</v>
      </c>
      <c r="F973" s="210">
        <v>0</v>
      </c>
    </row>
    <row r="974" spans="1:6" ht="17.100000000000001" hidden="1" customHeight="1">
      <c r="A974" s="575"/>
      <c r="B974" s="1277"/>
      <c r="C974" s="1278"/>
      <c r="D974" s="578" t="s">
        <v>219</v>
      </c>
      <c r="E974" s="579" t="s">
        <v>154</v>
      </c>
      <c r="F974" s="210">
        <v>0</v>
      </c>
    </row>
    <row r="975" spans="1:6" ht="17.100000000000001" hidden="1" customHeight="1">
      <c r="A975" s="575"/>
      <c r="B975" s="1277"/>
      <c r="C975" s="1278"/>
      <c r="D975" s="578" t="s">
        <v>337</v>
      </c>
      <c r="E975" s="579" t="s">
        <v>156</v>
      </c>
      <c r="F975" s="210">
        <v>0</v>
      </c>
    </row>
    <row r="976" spans="1:6" ht="17.100000000000001" hidden="1" customHeight="1">
      <c r="A976" s="575"/>
      <c r="B976" s="1277"/>
      <c r="C976" s="1278"/>
      <c r="D976" s="578" t="s">
        <v>221</v>
      </c>
      <c r="E976" s="579" t="s">
        <v>156</v>
      </c>
      <c r="F976" s="210">
        <v>0</v>
      </c>
    </row>
    <row r="977" spans="1:6" ht="17.100000000000001" hidden="1" customHeight="1">
      <c r="A977" s="575"/>
      <c r="B977" s="580"/>
      <c r="C977" s="550"/>
      <c r="D977" s="578" t="s">
        <v>368</v>
      </c>
      <c r="E977" s="579" t="s">
        <v>158</v>
      </c>
      <c r="F977" s="210">
        <v>0</v>
      </c>
    </row>
    <row r="978" spans="1:6" ht="17.100000000000001" hidden="1" customHeight="1">
      <c r="A978" s="575"/>
      <c r="B978" s="580"/>
      <c r="C978" s="550"/>
      <c r="D978" s="578" t="s">
        <v>223</v>
      </c>
      <c r="E978" s="579" t="s">
        <v>158</v>
      </c>
      <c r="F978" s="210">
        <v>0</v>
      </c>
    </row>
    <row r="979" spans="1:6" ht="17.100000000000001" hidden="1" customHeight="1">
      <c r="A979" s="575"/>
      <c r="B979" s="1277"/>
      <c r="C979" s="1278"/>
      <c r="D979" s="578" t="s">
        <v>369</v>
      </c>
      <c r="E979" s="579" t="s">
        <v>163</v>
      </c>
      <c r="F979" s="210">
        <v>0</v>
      </c>
    </row>
    <row r="980" spans="1:6" ht="17.100000000000001" hidden="1" customHeight="1">
      <c r="A980" s="575"/>
      <c r="B980" s="1277"/>
      <c r="C980" s="1278"/>
      <c r="D980" s="578" t="s">
        <v>228</v>
      </c>
      <c r="E980" s="579" t="s">
        <v>163</v>
      </c>
      <c r="F980" s="210">
        <v>0</v>
      </c>
    </row>
    <row r="981" spans="1:6" ht="17.100000000000001" hidden="1" customHeight="1">
      <c r="A981" s="575"/>
      <c r="B981" s="1277"/>
      <c r="C981" s="1278"/>
      <c r="D981" s="578" t="s">
        <v>529</v>
      </c>
      <c r="E981" s="579" t="s">
        <v>530</v>
      </c>
      <c r="F981" s="210"/>
    </row>
    <row r="982" spans="1:6" ht="17.100000000000001" hidden="1" customHeight="1">
      <c r="A982" s="575"/>
      <c r="B982" s="1277"/>
      <c r="C982" s="1278"/>
      <c r="D982" s="578" t="s">
        <v>429</v>
      </c>
      <c r="E982" s="579" t="s">
        <v>165</v>
      </c>
      <c r="F982" s="210"/>
    </row>
    <row r="983" spans="1:6" ht="17.100000000000001" hidden="1" customHeight="1">
      <c r="A983" s="575"/>
      <c r="B983" s="1277"/>
      <c r="C983" s="1278"/>
      <c r="D983" s="578" t="s">
        <v>531</v>
      </c>
      <c r="E983" s="579" t="s">
        <v>169</v>
      </c>
      <c r="F983" s="210"/>
    </row>
    <row r="984" spans="1:6" ht="17.100000000000001" hidden="1" customHeight="1">
      <c r="A984" s="575"/>
      <c r="B984" s="580"/>
      <c r="C984" s="550"/>
      <c r="D984" s="578" t="s">
        <v>401</v>
      </c>
      <c r="E984" s="579" t="s">
        <v>169</v>
      </c>
      <c r="F984" s="210"/>
    </row>
    <row r="985" spans="1:6" ht="17.100000000000001" hidden="1" customHeight="1">
      <c r="A985" s="575"/>
      <c r="B985" s="1277"/>
      <c r="C985" s="1278"/>
      <c r="D985" s="578" t="s">
        <v>338</v>
      </c>
      <c r="E985" s="579" t="s">
        <v>171</v>
      </c>
      <c r="F985" s="210">
        <v>0</v>
      </c>
    </row>
    <row r="986" spans="1:6" ht="17.100000000000001" hidden="1" customHeight="1">
      <c r="A986" s="575"/>
      <c r="B986" s="1277"/>
      <c r="C986" s="1278"/>
      <c r="D986" s="578" t="s">
        <v>232</v>
      </c>
      <c r="E986" s="579" t="s">
        <v>171</v>
      </c>
      <c r="F986" s="210">
        <v>0</v>
      </c>
    </row>
    <row r="987" spans="1:6" ht="17.100000000000001" hidden="1" customHeight="1">
      <c r="A987" s="575"/>
      <c r="B987" s="580"/>
      <c r="C987" s="550"/>
      <c r="D987" s="578" t="s">
        <v>430</v>
      </c>
      <c r="E987" s="579" t="s">
        <v>267</v>
      </c>
      <c r="F987" s="210"/>
    </row>
    <row r="988" spans="1:6" ht="25.5" hidden="1" customHeight="1">
      <c r="A988" s="575"/>
      <c r="B988" s="1277"/>
      <c r="C988" s="1278"/>
      <c r="D988" s="578" t="s">
        <v>532</v>
      </c>
      <c r="E988" s="579" t="s">
        <v>199</v>
      </c>
      <c r="F988" s="210"/>
    </row>
    <row r="989" spans="1:6" ht="25.5" hidden="1" customHeight="1">
      <c r="A989" s="575"/>
      <c r="B989" s="1277"/>
      <c r="C989" s="1278"/>
      <c r="D989" s="578" t="s">
        <v>431</v>
      </c>
      <c r="E989" s="579" t="s">
        <v>376</v>
      </c>
      <c r="F989" s="210"/>
    </row>
    <row r="990" spans="1:6" ht="17.100000000000001" hidden="1" customHeight="1">
      <c r="A990" s="575"/>
      <c r="B990" s="1277"/>
      <c r="C990" s="1278"/>
      <c r="D990" s="583" t="s">
        <v>339</v>
      </c>
      <c r="E990" s="584" t="s">
        <v>177</v>
      </c>
      <c r="F990" s="585">
        <v>0</v>
      </c>
    </row>
    <row r="991" spans="1:6" ht="17.100000000000001" hidden="1" customHeight="1">
      <c r="A991" s="575"/>
      <c r="B991" s="580"/>
      <c r="C991" s="550"/>
      <c r="D991" s="583" t="s">
        <v>234</v>
      </c>
      <c r="E991" s="584" t="s">
        <v>177</v>
      </c>
      <c r="F991" s="210">
        <v>0</v>
      </c>
    </row>
    <row r="992" spans="1:6" ht="17.100000000000001" hidden="1" customHeight="1">
      <c r="A992" s="575"/>
      <c r="B992" s="1277"/>
      <c r="C992" s="1278"/>
      <c r="D992" s="583" t="s">
        <v>434</v>
      </c>
      <c r="E992" s="579" t="s">
        <v>181</v>
      </c>
      <c r="F992" s="643">
        <v>0</v>
      </c>
    </row>
    <row r="993" spans="1:6" ht="17.100000000000001" hidden="1" customHeight="1">
      <c r="A993" s="575"/>
      <c r="B993" s="580"/>
      <c r="C993" s="551"/>
      <c r="D993" s="211" t="s">
        <v>435</v>
      </c>
      <c r="E993" s="579" t="s">
        <v>181</v>
      </c>
      <c r="F993" s="208">
        <v>0</v>
      </c>
    </row>
    <row r="994" spans="1:6" ht="17.100000000000001" customHeight="1">
      <c r="A994" s="575"/>
      <c r="B994" s="1265" t="s">
        <v>533</v>
      </c>
      <c r="C994" s="1266"/>
      <c r="D994" s="644"/>
      <c r="E994" s="645" t="s">
        <v>534</v>
      </c>
      <c r="F994" s="646">
        <f>SUM(F995+F1024)</f>
        <v>9555109</v>
      </c>
    </row>
    <row r="995" spans="1:6" ht="17.100000000000001" customHeight="1">
      <c r="A995" s="575"/>
      <c r="B995" s="580"/>
      <c r="C995" s="550"/>
      <c r="D995" s="1271" t="s">
        <v>146</v>
      </c>
      <c r="E995" s="1272"/>
      <c r="F995" s="207">
        <f>F996+F1021</f>
        <v>9555109</v>
      </c>
    </row>
    <row r="996" spans="1:6" ht="17.100000000000001" customHeight="1">
      <c r="A996" s="575"/>
      <c r="B996" s="580"/>
      <c r="C996" s="550"/>
      <c r="D996" s="1273" t="s">
        <v>147</v>
      </c>
      <c r="E996" s="1283"/>
      <c r="F996" s="210">
        <f>F997+F1004</f>
        <v>9544339</v>
      </c>
    </row>
    <row r="997" spans="1:6" ht="17.100000000000001" customHeight="1">
      <c r="A997" s="575"/>
      <c r="B997" s="580"/>
      <c r="C997" s="550"/>
      <c r="D997" s="1275" t="s">
        <v>148</v>
      </c>
      <c r="E997" s="1284"/>
      <c r="F997" s="210">
        <f>SUM(F998:F1002)</f>
        <v>7485618</v>
      </c>
    </row>
    <row r="998" spans="1:6" ht="17.100000000000001" customHeight="1">
      <c r="A998" s="575"/>
      <c r="B998" s="1277"/>
      <c r="C998" s="1278"/>
      <c r="D998" s="578" t="s">
        <v>149</v>
      </c>
      <c r="E998" s="579" t="s">
        <v>150</v>
      </c>
      <c r="F998" s="210">
        <v>5814025</v>
      </c>
    </row>
    <row r="999" spans="1:6" ht="17.100000000000001" customHeight="1">
      <c r="A999" s="575"/>
      <c r="B999" s="1277"/>
      <c r="C999" s="1278"/>
      <c r="D999" s="578" t="s">
        <v>151</v>
      </c>
      <c r="E999" s="579" t="s">
        <v>152</v>
      </c>
      <c r="F999" s="210">
        <v>492204</v>
      </c>
    </row>
    <row r="1000" spans="1:6" ht="17.100000000000001" customHeight="1">
      <c r="A1000" s="575"/>
      <c r="B1000" s="1277"/>
      <c r="C1000" s="1278"/>
      <c r="D1000" s="583" t="s">
        <v>153</v>
      </c>
      <c r="E1000" s="584" t="s">
        <v>154</v>
      </c>
      <c r="F1000" s="585">
        <v>1063485</v>
      </c>
    </row>
    <row r="1001" spans="1:6" ht="17.100000000000001" customHeight="1">
      <c r="A1001" s="575"/>
      <c r="B1001" s="1277"/>
      <c r="C1001" s="1281"/>
      <c r="D1001" s="553" t="s">
        <v>155</v>
      </c>
      <c r="E1001" s="230" t="s">
        <v>156</v>
      </c>
      <c r="F1001" s="210">
        <v>111404</v>
      </c>
    </row>
    <row r="1002" spans="1:6" ht="17.100000000000001" customHeight="1">
      <c r="A1002" s="575"/>
      <c r="B1002" s="1277"/>
      <c r="C1002" s="1278"/>
      <c r="D1002" s="628" t="s">
        <v>157</v>
      </c>
      <c r="E1002" s="629" t="s">
        <v>158</v>
      </c>
      <c r="F1002" s="647">
        <v>4500</v>
      </c>
    </row>
    <row r="1003" spans="1:6" ht="17.100000000000001" customHeight="1">
      <c r="A1003" s="575"/>
      <c r="B1003" s="580"/>
      <c r="C1003" s="550"/>
      <c r="D1003" s="1362"/>
      <c r="E1003" s="1363"/>
      <c r="F1003" s="1364"/>
    </row>
    <row r="1004" spans="1:6" ht="17.100000000000001" customHeight="1">
      <c r="A1004" s="575"/>
      <c r="B1004" s="580"/>
      <c r="C1004" s="550"/>
      <c r="D1004" s="1279" t="s">
        <v>159</v>
      </c>
      <c r="E1004" s="1280"/>
      <c r="F1004" s="612">
        <f>SUM(F1005:F1019)</f>
        <v>2058721</v>
      </c>
    </row>
    <row r="1005" spans="1:6" ht="17.100000000000001" customHeight="1">
      <c r="A1005" s="575"/>
      <c r="B1005" s="580"/>
      <c r="C1005" s="550"/>
      <c r="D1005" s="531" t="s">
        <v>160</v>
      </c>
      <c r="E1005" s="532" t="s">
        <v>161</v>
      </c>
      <c r="F1005" s="601">
        <v>35476</v>
      </c>
    </row>
    <row r="1006" spans="1:6" ht="17.100000000000001" customHeight="1">
      <c r="A1006" s="575"/>
      <c r="B1006" s="1277"/>
      <c r="C1006" s="1278"/>
      <c r="D1006" s="578" t="s">
        <v>162</v>
      </c>
      <c r="E1006" s="579" t="s">
        <v>163</v>
      </c>
      <c r="F1006" s="210">
        <f>199863</f>
        <v>199863</v>
      </c>
    </row>
    <row r="1007" spans="1:6" ht="17.100000000000001" customHeight="1">
      <c r="A1007" s="575"/>
      <c r="B1007" s="1277"/>
      <c r="C1007" s="1278"/>
      <c r="D1007" s="578" t="s">
        <v>353</v>
      </c>
      <c r="E1007" s="579" t="s">
        <v>354</v>
      </c>
      <c r="F1007" s="210">
        <v>128300</v>
      </c>
    </row>
    <row r="1008" spans="1:6" ht="17.100000000000001" customHeight="1">
      <c r="A1008" s="575"/>
      <c r="B1008" s="1277"/>
      <c r="C1008" s="1278"/>
      <c r="D1008" s="578" t="s">
        <v>164</v>
      </c>
      <c r="E1008" s="579" t="s">
        <v>165</v>
      </c>
      <c r="F1008" s="210">
        <f>559595</f>
        <v>559595</v>
      </c>
    </row>
    <row r="1009" spans="1:6" ht="17.100000000000001" customHeight="1">
      <c r="A1009" s="575"/>
      <c r="B1009" s="1277"/>
      <c r="C1009" s="1278"/>
      <c r="D1009" s="578" t="s">
        <v>166</v>
      </c>
      <c r="E1009" s="579" t="s">
        <v>167</v>
      </c>
      <c r="F1009" s="210">
        <v>35100</v>
      </c>
    </row>
    <row r="1010" spans="1:6" ht="17.100000000000001" customHeight="1">
      <c r="A1010" s="575"/>
      <c r="B1010" s="1277"/>
      <c r="C1010" s="1278"/>
      <c r="D1010" s="578" t="s">
        <v>168</v>
      </c>
      <c r="E1010" s="579" t="s">
        <v>169</v>
      </c>
      <c r="F1010" s="210">
        <v>8395</v>
      </c>
    </row>
    <row r="1011" spans="1:6" ht="17.100000000000001" customHeight="1">
      <c r="A1011" s="575"/>
      <c r="B1011" s="1277"/>
      <c r="C1011" s="1278"/>
      <c r="D1011" s="578" t="s">
        <v>170</v>
      </c>
      <c r="E1011" s="579" t="s">
        <v>171</v>
      </c>
      <c r="F1011" s="210">
        <f>282209</f>
        <v>282209</v>
      </c>
    </row>
    <row r="1012" spans="1:6" ht="30.75" hidden="1" customHeight="1">
      <c r="A1012" s="575"/>
      <c r="B1012" s="580"/>
      <c r="C1012" s="550"/>
      <c r="D1012" s="578" t="s">
        <v>518</v>
      </c>
      <c r="E1012" s="579" t="s">
        <v>519</v>
      </c>
      <c r="F1012" s="210">
        <v>0</v>
      </c>
    </row>
    <row r="1013" spans="1:6" ht="16.5" customHeight="1">
      <c r="A1013" s="575"/>
      <c r="B1013" s="1277"/>
      <c r="C1013" s="1278"/>
      <c r="D1013" s="578" t="s">
        <v>172</v>
      </c>
      <c r="E1013" s="579" t="s">
        <v>173</v>
      </c>
      <c r="F1013" s="210">
        <v>109970</v>
      </c>
    </row>
    <row r="1014" spans="1:6" ht="20.25" customHeight="1">
      <c r="A1014" s="575"/>
      <c r="B1014" s="1277"/>
      <c r="C1014" s="1278"/>
      <c r="D1014" s="578" t="s">
        <v>174</v>
      </c>
      <c r="E1014" s="579" t="s">
        <v>175</v>
      </c>
      <c r="F1014" s="210">
        <v>318250</v>
      </c>
    </row>
    <row r="1015" spans="1:6" ht="17.100000000000001" customHeight="1">
      <c r="A1015" s="575"/>
      <c r="B1015" s="1277"/>
      <c r="C1015" s="1278"/>
      <c r="D1015" s="578" t="s">
        <v>176</v>
      </c>
      <c r="E1015" s="579" t="s">
        <v>177</v>
      </c>
      <c r="F1015" s="210">
        <f>17850</f>
        <v>17850</v>
      </c>
    </row>
    <row r="1016" spans="1:6" ht="17.100000000000001" customHeight="1">
      <c r="A1016" s="575"/>
      <c r="B1016" s="1277"/>
      <c r="C1016" s="1278"/>
      <c r="D1016" s="578" t="s">
        <v>178</v>
      </c>
      <c r="E1016" s="579" t="s">
        <v>179</v>
      </c>
      <c r="F1016" s="210">
        <v>25184</v>
      </c>
    </row>
    <row r="1017" spans="1:6" ht="17.100000000000001" customHeight="1">
      <c r="A1017" s="575"/>
      <c r="B1017" s="1277"/>
      <c r="C1017" s="1278"/>
      <c r="D1017" s="578" t="s">
        <v>180</v>
      </c>
      <c r="E1017" s="579" t="s">
        <v>181</v>
      </c>
      <c r="F1017" s="210">
        <v>320857</v>
      </c>
    </row>
    <row r="1018" spans="1:6" ht="17.100000000000001" customHeight="1">
      <c r="A1018" s="575"/>
      <c r="B1018" s="580"/>
      <c r="C1018" s="550"/>
      <c r="D1018" s="578" t="s">
        <v>186</v>
      </c>
      <c r="E1018" s="579" t="s">
        <v>187</v>
      </c>
      <c r="F1018" s="210">
        <v>692</v>
      </c>
    </row>
    <row r="1019" spans="1:6" ht="17.100000000000001" customHeight="1">
      <c r="A1019" s="575"/>
      <c r="B1019" s="1277"/>
      <c r="C1019" s="1278"/>
      <c r="D1019" s="578" t="s">
        <v>188</v>
      </c>
      <c r="E1019" s="579" t="s">
        <v>189</v>
      </c>
      <c r="F1019" s="210">
        <v>16980</v>
      </c>
    </row>
    <row r="1020" spans="1:6" ht="17.100000000000001" customHeight="1">
      <c r="A1020" s="575"/>
      <c r="B1020" s="580"/>
      <c r="C1020" s="550"/>
      <c r="D1020" s="1277"/>
      <c r="E1020" s="1281"/>
      <c r="F1020" s="1282"/>
    </row>
    <row r="1021" spans="1:6" ht="17.100000000000001" customHeight="1">
      <c r="A1021" s="575"/>
      <c r="B1021" s="580"/>
      <c r="C1021" s="550"/>
      <c r="D1021" s="1319" t="s">
        <v>464</v>
      </c>
      <c r="E1021" s="1412"/>
      <c r="F1021" s="585">
        <f>F1022</f>
        <v>10770</v>
      </c>
    </row>
    <row r="1022" spans="1:6" ht="17.100000000000001" customHeight="1">
      <c r="A1022" s="575"/>
      <c r="B1022" s="580"/>
      <c r="C1022" s="551"/>
      <c r="D1022" s="211" t="s">
        <v>191</v>
      </c>
      <c r="E1022" s="559" t="s">
        <v>192</v>
      </c>
      <c r="F1022" s="210">
        <v>10770</v>
      </c>
    </row>
    <row r="1023" spans="1:6" ht="17.100000000000001" hidden="1" customHeight="1">
      <c r="A1023" s="575"/>
      <c r="B1023" s="580"/>
      <c r="C1023" s="550"/>
      <c r="D1023" s="1413"/>
      <c r="E1023" s="1413"/>
      <c r="F1023" s="1414"/>
    </row>
    <row r="1024" spans="1:6" ht="17.100000000000001" hidden="1" customHeight="1">
      <c r="A1024" s="575"/>
      <c r="B1024" s="580"/>
      <c r="C1024" s="550"/>
      <c r="D1024" s="1312" t="s">
        <v>202</v>
      </c>
      <c r="E1024" s="1313"/>
      <c r="F1024" s="648">
        <f>F1025</f>
        <v>0</v>
      </c>
    </row>
    <row r="1025" spans="1:6" ht="17.100000000000001" hidden="1" customHeight="1">
      <c r="A1025" s="575"/>
      <c r="B1025" s="580"/>
      <c r="C1025" s="550"/>
      <c r="D1025" s="1285" t="s">
        <v>203</v>
      </c>
      <c r="E1025" s="1286"/>
      <c r="F1025" s="648">
        <f>F1026</f>
        <v>0</v>
      </c>
    </row>
    <row r="1026" spans="1:6" ht="17.100000000000001" hidden="1" customHeight="1">
      <c r="A1026" s="575"/>
      <c r="B1026" s="580"/>
      <c r="C1026" s="550"/>
      <c r="D1026" s="578" t="s">
        <v>245</v>
      </c>
      <c r="E1026" s="579" t="s">
        <v>246</v>
      </c>
      <c r="F1026" s="648">
        <v>0</v>
      </c>
    </row>
    <row r="1027" spans="1:6" ht="17.100000000000001" customHeight="1">
      <c r="A1027" s="575"/>
      <c r="B1027" s="1265" t="s">
        <v>535</v>
      </c>
      <c r="C1027" s="1266"/>
      <c r="D1027" s="644"/>
      <c r="E1027" s="645" t="s">
        <v>129</v>
      </c>
      <c r="F1027" s="646">
        <f>F1028+F1082</f>
        <v>4595021</v>
      </c>
    </row>
    <row r="1028" spans="1:6" ht="17.100000000000001" customHeight="1">
      <c r="A1028" s="575"/>
      <c r="B1028" s="580"/>
      <c r="C1028" s="550"/>
      <c r="D1028" s="1271" t="s">
        <v>146</v>
      </c>
      <c r="E1028" s="1272"/>
      <c r="F1028" s="207">
        <f>F1029+F1041+F1045+F1050</f>
        <v>4571021</v>
      </c>
    </row>
    <row r="1029" spans="1:6" ht="17.100000000000001" customHeight="1">
      <c r="A1029" s="575"/>
      <c r="B1029" s="580"/>
      <c r="C1029" s="550"/>
      <c r="D1029" s="1273" t="s">
        <v>147</v>
      </c>
      <c r="E1029" s="1283"/>
      <c r="F1029" s="210">
        <f>F1030+F1036</f>
        <v>625145</v>
      </c>
    </row>
    <row r="1030" spans="1:6" ht="17.100000000000001" customHeight="1">
      <c r="A1030" s="575"/>
      <c r="B1030" s="580"/>
      <c r="C1030" s="550"/>
      <c r="D1030" s="1275" t="s">
        <v>148</v>
      </c>
      <c r="E1030" s="1284"/>
      <c r="F1030" s="210">
        <f>SUM(F1031:F1034)</f>
        <v>59107</v>
      </c>
    </row>
    <row r="1031" spans="1:6" ht="17.100000000000001" customHeight="1">
      <c r="A1031" s="575"/>
      <c r="B1031" s="1277"/>
      <c r="C1031" s="1278"/>
      <c r="D1031" s="578" t="s">
        <v>149</v>
      </c>
      <c r="E1031" s="579" t="s">
        <v>150</v>
      </c>
      <c r="F1031" s="210">
        <v>46823</v>
      </c>
    </row>
    <row r="1032" spans="1:6" ht="17.100000000000001" customHeight="1">
      <c r="A1032" s="575"/>
      <c r="B1032" s="580"/>
      <c r="C1032" s="550"/>
      <c r="D1032" s="578" t="s">
        <v>153</v>
      </c>
      <c r="E1032" s="579" t="s">
        <v>154</v>
      </c>
      <c r="F1032" s="210">
        <v>7960</v>
      </c>
    </row>
    <row r="1033" spans="1:6" ht="17.100000000000001" customHeight="1">
      <c r="A1033" s="575"/>
      <c r="B1033" s="580"/>
      <c r="C1033" s="550"/>
      <c r="D1033" s="578" t="s">
        <v>155</v>
      </c>
      <c r="E1033" s="579" t="s">
        <v>156</v>
      </c>
      <c r="F1033" s="210">
        <v>1124</v>
      </c>
    </row>
    <row r="1034" spans="1:6" ht="17.100000000000001" customHeight="1">
      <c r="A1034" s="575"/>
      <c r="B1034" s="580"/>
      <c r="C1034" s="550"/>
      <c r="D1034" s="578" t="s">
        <v>157</v>
      </c>
      <c r="E1034" s="579" t="s">
        <v>158</v>
      </c>
      <c r="F1034" s="210">
        <v>3200</v>
      </c>
    </row>
    <row r="1035" spans="1:6" ht="17.100000000000001" customHeight="1">
      <c r="A1035" s="575"/>
      <c r="B1035" s="580"/>
      <c r="C1035" s="550"/>
      <c r="D1035" s="1277"/>
      <c r="E1035" s="1281"/>
      <c r="F1035" s="1282"/>
    </row>
    <row r="1036" spans="1:6" ht="17.100000000000001" customHeight="1">
      <c r="A1036" s="575"/>
      <c r="B1036" s="580"/>
      <c r="C1036" s="550"/>
      <c r="D1036" s="1279" t="s">
        <v>159</v>
      </c>
      <c r="E1036" s="1280"/>
      <c r="F1036" s="210">
        <f>SUM(F1037:F1039)</f>
        <v>566038</v>
      </c>
    </row>
    <row r="1037" spans="1:6" ht="17.100000000000001" customHeight="1">
      <c r="A1037" s="575"/>
      <c r="B1037" s="580"/>
      <c r="C1037" s="550"/>
      <c r="D1037" s="578" t="s">
        <v>162</v>
      </c>
      <c r="E1037" s="579" t="s">
        <v>163</v>
      </c>
      <c r="F1037" s="210">
        <v>14000</v>
      </c>
    </row>
    <row r="1038" spans="1:6" ht="17.100000000000001" customHeight="1">
      <c r="A1038" s="575"/>
      <c r="B1038" s="580"/>
      <c r="C1038" s="550"/>
      <c r="D1038" s="578" t="s">
        <v>170</v>
      </c>
      <c r="E1038" s="579" t="s">
        <v>171</v>
      </c>
      <c r="F1038" s="210">
        <v>23000</v>
      </c>
    </row>
    <row r="1039" spans="1:6" ht="17.100000000000001" customHeight="1">
      <c r="A1039" s="575"/>
      <c r="B1039" s="580"/>
      <c r="C1039" s="550"/>
      <c r="D1039" s="578" t="s">
        <v>180</v>
      </c>
      <c r="E1039" s="579" t="s">
        <v>181</v>
      </c>
      <c r="F1039" s="210">
        <v>529038</v>
      </c>
    </row>
    <row r="1040" spans="1:6" ht="17.100000000000001" customHeight="1">
      <c r="A1040" s="575"/>
      <c r="B1040" s="580"/>
      <c r="C1040" s="550"/>
      <c r="D1040" s="1277"/>
      <c r="E1040" s="1281"/>
      <c r="F1040" s="1282"/>
    </row>
    <row r="1041" spans="1:6" ht="17.100000000000001" customHeight="1">
      <c r="A1041" s="575"/>
      <c r="B1041" s="580"/>
      <c r="C1041" s="550"/>
      <c r="D1041" s="1285" t="s">
        <v>209</v>
      </c>
      <c r="E1041" s="1412"/>
      <c r="F1041" s="210">
        <f>F1042+F1043</f>
        <v>3572000</v>
      </c>
    </row>
    <row r="1042" spans="1:6" ht="39" customHeight="1">
      <c r="A1042" s="575"/>
      <c r="B1042" s="580"/>
      <c r="C1042" s="550"/>
      <c r="D1042" s="649" t="s">
        <v>279</v>
      </c>
      <c r="E1042" s="559" t="s">
        <v>280</v>
      </c>
      <c r="F1042" s="585">
        <v>908600</v>
      </c>
    </row>
    <row r="1043" spans="1:6" ht="51">
      <c r="A1043" s="575"/>
      <c r="B1043" s="580"/>
      <c r="C1043" s="551"/>
      <c r="D1043" s="211" t="s">
        <v>282</v>
      </c>
      <c r="E1043" s="534" t="s">
        <v>467</v>
      </c>
      <c r="F1043" s="210">
        <v>2663400</v>
      </c>
    </row>
    <row r="1044" spans="1:6" ht="17.100000000000001" customHeight="1">
      <c r="A1044" s="575"/>
      <c r="B1044" s="580"/>
      <c r="C1044" s="550"/>
      <c r="D1044" s="1277"/>
      <c r="E1044" s="1281"/>
      <c r="F1044" s="1282"/>
    </row>
    <row r="1045" spans="1:6" ht="17.100000000000001" customHeight="1">
      <c r="A1045" s="575"/>
      <c r="B1045" s="580"/>
      <c r="C1045" s="550"/>
      <c r="D1045" s="1285" t="s">
        <v>464</v>
      </c>
      <c r="E1045" s="1286"/>
      <c r="F1045" s="210">
        <f>SUM(F1046:F1048)</f>
        <v>346823</v>
      </c>
    </row>
    <row r="1046" spans="1:6" ht="17.100000000000001" customHeight="1">
      <c r="A1046" s="575"/>
      <c r="B1046" s="580"/>
      <c r="C1046" s="550"/>
      <c r="D1046" s="578" t="s">
        <v>191</v>
      </c>
      <c r="E1046" s="579" t="s">
        <v>192</v>
      </c>
      <c r="F1046" s="210">
        <v>46823</v>
      </c>
    </row>
    <row r="1047" spans="1:6" ht="17.100000000000001" customHeight="1">
      <c r="A1047" s="575"/>
      <c r="B1047" s="580"/>
      <c r="C1047" s="550"/>
      <c r="D1047" s="578" t="s">
        <v>536</v>
      </c>
      <c r="E1047" s="579" t="s">
        <v>537</v>
      </c>
      <c r="F1047" s="210">
        <v>100000</v>
      </c>
    </row>
    <row r="1048" spans="1:6" ht="17.100000000000001" customHeight="1">
      <c r="A1048" s="575"/>
      <c r="B1048" s="580"/>
      <c r="C1048" s="550"/>
      <c r="D1048" s="578" t="s">
        <v>521</v>
      </c>
      <c r="E1048" s="579" t="s">
        <v>522</v>
      </c>
      <c r="F1048" s="210">
        <v>200000</v>
      </c>
    </row>
    <row r="1049" spans="1:6" ht="17.100000000000001" customHeight="1">
      <c r="A1049" s="575"/>
      <c r="B1049" s="580"/>
      <c r="C1049" s="550"/>
      <c r="D1049" s="1277"/>
      <c r="E1049" s="1281"/>
      <c r="F1049" s="1282"/>
    </row>
    <row r="1050" spans="1:6" ht="17.100000000000001" customHeight="1">
      <c r="A1050" s="575"/>
      <c r="B1050" s="580"/>
      <c r="C1050" s="550"/>
      <c r="D1050" s="1273" t="s">
        <v>213</v>
      </c>
      <c r="E1050" s="1283"/>
      <c r="F1050" s="210">
        <f>SUM(F1051:F1080)</f>
        <v>27053</v>
      </c>
    </row>
    <row r="1051" spans="1:6" ht="39" hidden="1" customHeight="1">
      <c r="A1051" s="575"/>
      <c r="B1051" s="580"/>
      <c r="C1051" s="550"/>
      <c r="D1051" s="578" t="s">
        <v>527</v>
      </c>
      <c r="E1051" s="579" t="s">
        <v>280</v>
      </c>
      <c r="F1051" s="210">
        <v>0</v>
      </c>
    </row>
    <row r="1052" spans="1:6" ht="38.25" hidden="1">
      <c r="A1052" s="575"/>
      <c r="B1052" s="580"/>
      <c r="C1052" s="550"/>
      <c r="D1052" s="578" t="s">
        <v>279</v>
      </c>
      <c r="E1052" s="579" t="s">
        <v>280</v>
      </c>
      <c r="F1052" s="210">
        <v>0</v>
      </c>
    </row>
    <row r="1053" spans="1:6" ht="17.100000000000001" hidden="1" customHeight="1">
      <c r="A1053" s="575"/>
      <c r="B1053" s="1277"/>
      <c r="C1053" s="1278"/>
      <c r="D1053" s="578" t="s">
        <v>335</v>
      </c>
      <c r="E1053" s="579" t="s">
        <v>150</v>
      </c>
      <c r="F1053" s="210">
        <v>0</v>
      </c>
    </row>
    <row r="1054" spans="1:6" ht="17.100000000000001" hidden="1" customHeight="1">
      <c r="A1054" s="575"/>
      <c r="B1054" s="1277"/>
      <c r="C1054" s="1278"/>
      <c r="D1054" s="578" t="s">
        <v>215</v>
      </c>
      <c r="E1054" s="579" t="s">
        <v>150</v>
      </c>
      <c r="F1054" s="210">
        <v>0</v>
      </c>
    </row>
    <row r="1055" spans="1:6" ht="17.100000000000001" hidden="1" customHeight="1">
      <c r="A1055" s="575"/>
      <c r="B1055" s="580"/>
      <c r="C1055" s="550"/>
      <c r="D1055" s="578" t="s">
        <v>428</v>
      </c>
      <c r="E1055" s="579" t="s">
        <v>152</v>
      </c>
      <c r="F1055" s="210">
        <v>0</v>
      </c>
    </row>
    <row r="1056" spans="1:6" ht="17.100000000000001" hidden="1" customHeight="1">
      <c r="A1056" s="575"/>
      <c r="B1056" s="580"/>
      <c r="C1056" s="550"/>
      <c r="D1056" s="578" t="s">
        <v>217</v>
      </c>
      <c r="E1056" s="579" t="s">
        <v>152</v>
      </c>
      <c r="F1056" s="210">
        <v>0</v>
      </c>
    </row>
    <row r="1057" spans="1:6" ht="17.100000000000001" customHeight="1">
      <c r="A1057" s="575"/>
      <c r="B1057" s="1277"/>
      <c r="C1057" s="1278"/>
      <c r="D1057" s="578" t="s">
        <v>538</v>
      </c>
      <c r="E1057" s="579" t="s">
        <v>154</v>
      </c>
      <c r="F1057" s="210">
        <v>3008</v>
      </c>
    </row>
    <row r="1058" spans="1:6" ht="17.100000000000001" hidden="1" customHeight="1">
      <c r="A1058" s="575"/>
      <c r="B1058" s="1277"/>
      <c r="C1058" s="1278"/>
      <c r="D1058" s="578" t="s">
        <v>219</v>
      </c>
      <c r="E1058" s="579" t="s">
        <v>154</v>
      </c>
      <c r="F1058" s="210">
        <v>0</v>
      </c>
    </row>
    <row r="1059" spans="1:6" ht="17.100000000000001" customHeight="1">
      <c r="A1059" s="575"/>
      <c r="B1059" s="1277"/>
      <c r="C1059" s="1278"/>
      <c r="D1059" s="578" t="s">
        <v>539</v>
      </c>
      <c r="E1059" s="579" t="s">
        <v>156</v>
      </c>
      <c r="F1059" s="210">
        <v>428</v>
      </c>
    </row>
    <row r="1060" spans="1:6" ht="17.100000000000001" customHeight="1">
      <c r="A1060" s="575"/>
      <c r="B1060" s="1277"/>
      <c r="C1060" s="1278"/>
      <c r="D1060" s="578" t="s">
        <v>540</v>
      </c>
      <c r="E1060" s="579" t="s">
        <v>158</v>
      </c>
      <c r="F1060" s="210">
        <v>17500</v>
      </c>
    </row>
    <row r="1061" spans="1:6" ht="17.100000000000001" hidden="1" customHeight="1">
      <c r="A1061" s="575"/>
      <c r="B1061" s="1277"/>
      <c r="C1061" s="1278"/>
      <c r="D1061" s="578" t="s">
        <v>369</v>
      </c>
      <c r="E1061" s="579" t="s">
        <v>163</v>
      </c>
      <c r="F1061" s="210">
        <v>0</v>
      </c>
    </row>
    <row r="1062" spans="1:6" ht="17.100000000000001" hidden="1" customHeight="1">
      <c r="A1062" s="575"/>
      <c r="B1062" s="1277"/>
      <c r="C1062" s="1278"/>
      <c r="D1062" s="578" t="s">
        <v>228</v>
      </c>
      <c r="E1062" s="579" t="s">
        <v>163</v>
      </c>
      <c r="F1062" s="210">
        <v>0</v>
      </c>
    </row>
    <row r="1063" spans="1:6" ht="17.100000000000001" customHeight="1">
      <c r="A1063" s="575"/>
      <c r="B1063" s="1277"/>
      <c r="C1063" s="1278"/>
      <c r="D1063" s="578" t="s">
        <v>541</v>
      </c>
      <c r="E1063" s="579" t="s">
        <v>171</v>
      </c>
      <c r="F1063" s="210">
        <v>6117</v>
      </c>
    </row>
    <row r="1064" spans="1:6" ht="17.100000000000001" hidden="1" customHeight="1">
      <c r="A1064" s="575"/>
      <c r="B1064" s="1277"/>
      <c r="C1064" s="1278"/>
      <c r="D1064" s="578" t="s">
        <v>232</v>
      </c>
      <c r="E1064" s="579" t="s">
        <v>171</v>
      </c>
      <c r="F1064" s="210">
        <v>0</v>
      </c>
    </row>
    <row r="1065" spans="1:6" ht="17.100000000000001" hidden="1" customHeight="1">
      <c r="A1065" s="575"/>
      <c r="B1065" s="1277"/>
      <c r="C1065" s="1278"/>
      <c r="D1065" s="578" t="s">
        <v>430</v>
      </c>
      <c r="E1065" s="579" t="s">
        <v>267</v>
      </c>
      <c r="F1065" s="210">
        <v>0</v>
      </c>
    </row>
    <row r="1066" spans="1:6" ht="17.100000000000001" hidden="1" customHeight="1">
      <c r="A1066" s="575"/>
      <c r="B1066" s="1277"/>
      <c r="C1066" s="1278"/>
      <c r="D1066" s="578" t="s">
        <v>269</v>
      </c>
      <c r="E1066" s="579" t="s">
        <v>267</v>
      </c>
      <c r="F1066" s="210">
        <v>0</v>
      </c>
    </row>
    <row r="1067" spans="1:6" ht="27.75" hidden="1" customHeight="1">
      <c r="A1067" s="575"/>
      <c r="B1067" s="1277"/>
      <c r="C1067" s="1278"/>
      <c r="D1067" s="578" t="s">
        <v>532</v>
      </c>
      <c r="E1067" s="579" t="s">
        <v>199</v>
      </c>
      <c r="F1067" s="210">
        <v>0</v>
      </c>
    </row>
    <row r="1068" spans="1:6" ht="24.75" hidden="1" customHeight="1">
      <c r="A1068" s="575"/>
      <c r="B1068" s="1277"/>
      <c r="C1068" s="1278"/>
      <c r="D1068" s="578" t="s">
        <v>271</v>
      </c>
      <c r="E1068" s="579" t="s">
        <v>199</v>
      </c>
      <c r="F1068" s="210">
        <v>0</v>
      </c>
    </row>
    <row r="1069" spans="1:6" ht="30" hidden="1" customHeight="1">
      <c r="A1069" s="575"/>
      <c r="B1069" s="1277"/>
      <c r="C1069" s="1278"/>
      <c r="D1069" s="578" t="s">
        <v>431</v>
      </c>
      <c r="E1069" s="579" t="s">
        <v>376</v>
      </c>
      <c r="F1069" s="210">
        <v>0</v>
      </c>
    </row>
    <row r="1070" spans="1:6" ht="30" hidden="1" customHeight="1">
      <c r="A1070" s="575"/>
      <c r="B1070" s="1277"/>
      <c r="C1070" s="1278"/>
      <c r="D1070" s="578" t="s">
        <v>432</v>
      </c>
      <c r="E1070" s="579" t="s">
        <v>376</v>
      </c>
      <c r="F1070" s="210">
        <v>0</v>
      </c>
    </row>
    <row r="1071" spans="1:6" ht="17.100000000000001" hidden="1" customHeight="1">
      <c r="A1071" s="575"/>
      <c r="B1071" s="580"/>
      <c r="C1071" s="550"/>
      <c r="D1071" s="578" t="s">
        <v>370</v>
      </c>
      <c r="E1071" s="579" t="s">
        <v>371</v>
      </c>
      <c r="F1071" s="210"/>
    </row>
    <row r="1072" spans="1:6" ht="17.100000000000001" hidden="1" customHeight="1">
      <c r="A1072" s="575"/>
      <c r="B1072" s="580"/>
      <c r="C1072" s="550"/>
      <c r="D1072" s="578" t="s">
        <v>408</v>
      </c>
      <c r="E1072" s="579" t="s">
        <v>371</v>
      </c>
      <c r="F1072" s="210"/>
    </row>
    <row r="1073" spans="1:7" ht="23.25" hidden="1" customHeight="1">
      <c r="A1073" s="575"/>
      <c r="B1073" s="1277"/>
      <c r="C1073" s="1278"/>
      <c r="D1073" s="578" t="s">
        <v>433</v>
      </c>
      <c r="E1073" s="579" t="s">
        <v>175</v>
      </c>
      <c r="F1073" s="210">
        <v>0</v>
      </c>
    </row>
    <row r="1074" spans="1:7" ht="21.75" hidden="1" customHeight="1">
      <c r="A1074" s="575"/>
      <c r="B1074" s="1277"/>
      <c r="C1074" s="1278"/>
      <c r="D1074" s="578" t="s">
        <v>416</v>
      </c>
      <c r="E1074" s="579" t="s">
        <v>175</v>
      </c>
      <c r="F1074" s="210">
        <v>0</v>
      </c>
    </row>
    <row r="1075" spans="1:7" ht="17.100000000000001" hidden="1" customHeight="1">
      <c r="A1075" s="575"/>
      <c r="B1075" s="1277"/>
      <c r="C1075" s="1278"/>
      <c r="D1075" s="578" t="s">
        <v>339</v>
      </c>
      <c r="E1075" s="579" t="s">
        <v>177</v>
      </c>
      <c r="F1075" s="210">
        <v>0</v>
      </c>
    </row>
    <row r="1076" spans="1:7" ht="17.100000000000001" hidden="1" customHeight="1">
      <c r="A1076" s="575"/>
      <c r="B1076" s="1277"/>
      <c r="C1076" s="1278"/>
      <c r="D1076" s="578" t="s">
        <v>234</v>
      </c>
      <c r="E1076" s="579" t="s">
        <v>177</v>
      </c>
      <c r="F1076" s="210">
        <v>0</v>
      </c>
    </row>
    <row r="1077" spans="1:7" ht="17.100000000000001" hidden="1" customHeight="1">
      <c r="A1077" s="575"/>
      <c r="B1077" s="1277"/>
      <c r="C1077" s="1278"/>
      <c r="D1077" s="578" t="s">
        <v>434</v>
      </c>
      <c r="E1077" s="579" t="s">
        <v>181</v>
      </c>
      <c r="F1077" s="210">
        <v>0</v>
      </c>
    </row>
    <row r="1078" spans="1:7" ht="17.100000000000001" hidden="1" customHeight="1">
      <c r="A1078" s="575"/>
      <c r="B1078" s="1277"/>
      <c r="C1078" s="1278"/>
      <c r="D1078" s="583" t="s">
        <v>435</v>
      </c>
      <c r="E1078" s="584" t="s">
        <v>181</v>
      </c>
      <c r="F1078" s="585">
        <v>0</v>
      </c>
    </row>
    <row r="1079" spans="1:7" ht="17.100000000000001" hidden="1" customHeight="1">
      <c r="A1079" s="575"/>
      <c r="B1079" s="580"/>
      <c r="C1079" s="551"/>
      <c r="D1079" s="211" t="s">
        <v>542</v>
      </c>
      <c r="E1079" s="559" t="s">
        <v>187</v>
      </c>
      <c r="F1079" s="210">
        <v>0</v>
      </c>
    </row>
    <row r="1080" spans="1:7" ht="17.100000000000001" hidden="1" customHeight="1">
      <c r="A1080" s="575"/>
      <c r="B1080" s="580"/>
      <c r="C1080" s="551"/>
      <c r="D1080" s="211" t="s">
        <v>421</v>
      </c>
      <c r="E1080" s="559" t="s">
        <v>187</v>
      </c>
      <c r="F1080" s="210">
        <v>0</v>
      </c>
    </row>
    <row r="1081" spans="1:7" ht="17.100000000000001" customHeight="1">
      <c r="A1081" s="575"/>
      <c r="B1081" s="580"/>
      <c r="C1081" s="550"/>
      <c r="D1081" s="1277"/>
      <c r="E1081" s="1281"/>
      <c r="F1081" s="1282"/>
    </row>
    <row r="1082" spans="1:7" ht="17.100000000000001" customHeight="1">
      <c r="A1082" s="575"/>
      <c r="B1082" s="580"/>
      <c r="C1082" s="550"/>
      <c r="D1082" s="1312" t="s">
        <v>202</v>
      </c>
      <c r="E1082" s="1313"/>
      <c r="F1082" s="207">
        <f>F1083</f>
        <v>24000</v>
      </c>
    </row>
    <row r="1083" spans="1:7" ht="17.100000000000001" customHeight="1">
      <c r="A1083" s="575"/>
      <c r="B1083" s="580"/>
      <c r="C1083" s="550"/>
      <c r="D1083" s="1285" t="s">
        <v>203</v>
      </c>
      <c r="E1083" s="1286"/>
      <c r="F1083" s="210">
        <f>SUM(F1084:F1085)</f>
        <v>24000</v>
      </c>
      <c r="G1083" s="213"/>
    </row>
    <row r="1084" spans="1:7" ht="42" hidden="1" customHeight="1">
      <c r="A1084" s="575"/>
      <c r="B1084" s="1277"/>
      <c r="C1084" s="1278"/>
      <c r="D1084" s="578" t="s">
        <v>342</v>
      </c>
      <c r="E1084" s="579" t="s">
        <v>280</v>
      </c>
      <c r="F1084" s="210"/>
      <c r="G1084" s="213"/>
    </row>
    <row r="1085" spans="1:7" ht="51">
      <c r="A1085" s="575"/>
      <c r="B1085" s="1303"/>
      <c r="C1085" s="1320"/>
      <c r="D1085" s="578" t="s">
        <v>285</v>
      </c>
      <c r="E1085" s="534" t="s">
        <v>283</v>
      </c>
      <c r="F1085" s="210">
        <v>24000</v>
      </c>
    </row>
    <row r="1086" spans="1:7" ht="17.100000000000001" customHeight="1">
      <c r="A1086" s="572" t="s">
        <v>543</v>
      </c>
      <c r="B1086" s="1263"/>
      <c r="C1086" s="1264"/>
      <c r="D1086" s="573"/>
      <c r="E1086" s="574" t="s">
        <v>544</v>
      </c>
      <c r="F1086" s="205">
        <f>F1087+F1091+F1095</f>
        <v>1583953</v>
      </c>
    </row>
    <row r="1087" spans="1:7" ht="17.100000000000001" customHeight="1">
      <c r="A1087" s="650"/>
      <c r="B1087" s="651"/>
      <c r="C1087" s="603" t="s">
        <v>545</v>
      </c>
      <c r="D1087" s="576"/>
      <c r="E1087" s="577" t="s">
        <v>546</v>
      </c>
      <c r="F1087" s="206">
        <f>F1088</f>
        <v>1233953</v>
      </c>
    </row>
    <row r="1088" spans="1:7" ht="17.100000000000001" customHeight="1">
      <c r="A1088" s="650"/>
      <c r="B1088" s="652"/>
      <c r="C1088" s="212"/>
      <c r="D1088" s="1312" t="s">
        <v>202</v>
      </c>
      <c r="E1088" s="1313"/>
      <c r="F1088" s="207">
        <f>F1089</f>
        <v>1233953</v>
      </c>
    </row>
    <row r="1089" spans="1:7" ht="17.100000000000001" customHeight="1">
      <c r="A1089" s="650"/>
      <c r="B1089" s="652"/>
      <c r="C1089" s="212"/>
      <c r="D1089" s="1285" t="s">
        <v>203</v>
      </c>
      <c r="E1089" s="1286"/>
      <c r="F1089" s="210">
        <f>F1090</f>
        <v>1233953</v>
      </c>
    </row>
    <row r="1090" spans="1:7" ht="38.25" customHeight="1">
      <c r="A1090" s="650"/>
      <c r="B1090" s="652"/>
      <c r="C1090" s="538"/>
      <c r="D1090" s="609" t="s">
        <v>284</v>
      </c>
      <c r="E1090" s="579" t="s">
        <v>280</v>
      </c>
      <c r="F1090" s="210">
        <v>1233953</v>
      </c>
      <c r="G1090" s="213"/>
    </row>
    <row r="1091" spans="1:7" ht="17.100000000000001" customHeight="1">
      <c r="A1091" s="575"/>
      <c r="B1091" s="1265" t="s">
        <v>547</v>
      </c>
      <c r="C1091" s="1266"/>
      <c r="D1091" s="576"/>
      <c r="E1091" s="577" t="s">
        <v>548</v>
      </c>
      <c r="F1091" s="206">
        <f>F1092</f>
        <v>200000</v>
      </c>
    </row>
    <row r="1092" spans="1:7" ht="17.100000000000001" customHeight="1">
      <c r="A1092" s="575"/>
      <c r="B1092" s="1267"/>
      <c r="C1092" s="1268"/>
      <c r="D1092" s="1271" t="s">
        <v>146</v>
      </c>
      <c r="E1092" s="1272"/>
      <c r="F1092" s="207">
        <f>F1093</f>
        <v>200000</v>
      </c>
    </row>
    <row r="1093" spans="1:7" ht="17.100000000000001" customHeight="1">
      <c r="A1093" s="575"/>
      <c r="B1093" s="1269"/>
      <c r="C1093" s="1270"/>
      <c r="D1093" s="1285" t="s">
        <v>464</v>
      </c>
      <c r="E1093" s="1286"/>
      <c r="F1093" s="210">
        <f>F1094</f>
        <v>200000</v>
      </c>
    </row>
    <row r="1094" spans="1:7" ht="17.100000000000001" customHeight="1">
      <c r="A1094" s="575"/>
      <c r="B1094" s="1269"/>
      <c r="C1094" s="1288"/>
      <c r="D1094" s="226" t="s">
        <v>549</v>
      </c>
      <c r="E1094" s="579" t="s">
        <v>550</v>
      </c>
      <c r="F1094" s="210">
        <f>200000</f>
        <v>200000</v>
      </c>
    </row>
    <row r="1095" spans="1:7" ht="17.100000000000001" customHeight="1">
      <c r="A1095" s="575"/>
      <c r="B1095" s="1265" t="s">
        <v>551</v>
      </c>
      <c r="C1095" s="1266"/>
      <c r="D1095" s="576"/>
      <c r="E1095" s="577" t="s">
        <v>129</v>
      </c>
      <c r="F1095" s="206">
        <f>F1096</f>
        <v>150000</v>
      </c>
    </row>
    <row r="1096" spans="1:7" ht="17.100000000000001" customHeight="1">
      <c r="A1096" s="575"/>
      <c r="B1096" s="1267"/>
      <c r="C1096" s="1268"/>
      <c r="D1096" s="1271" t="s">
        <v>146</v>
      </c>
      <c r="E1096" s="1272"/>
      <c r="F1096" s="207">
        <f>F1097</f>
        <v>150000</v>
      </c>
    </row>
    <row r="1097" spans="1:7" ht="17.100000000000001" customHeight="1">
      <c r="A1097" s="575"/>
      <c r="B1097" s="1269"/>
      <c r="C1097" s="1270"/>
      <c r="D1097" s="1273" t="s">
        <v>147</v>
      </c>
      <c r="E1097" s="1283"/>
      <c r="F1097" s="210">
        <f>F1098</f>
        <v>150000</v>
      </c>
    </row>
    <row r="1098" spans="1:7" ht="17.100000000000001" customHeight="1">
      <c r="A1098" s="575"/>
      <c r="B1098" s="1269"/>
      <c r="C1098" s="1270"/>
      <c r="D1098" s="1279" t="s">
        <v>159</v>
      </c>
      <c r="E1098" s="1280"/>
      <c r="F1098" s="210">
        <f>F1099</f>
        <v>150000</v>
      </c>
    </row>
    <row r="1099" spans="1:7" ht="17.100000000000001" customHeight="1">
      <c r="A1099" s="575"/>
      <c r="B1099" s="1269"/>
      <c r="C1099" s="1270"/>
      <c r="D1099" s="578" t="s">
        <v>170</v>
      </c>
      <c r="E1099" s="579" t="s">
        <v>171</v>
      </c>
      <c r="F1099" s="210">
        <f>150000</f>
        <v>150000</v>
      </c>
    </row>
    <row r="1100" spans="1:7" ht="17.100000000000001" customHeight="1">
      <c r="A1100" s="572" t="s">
        <v>552</v>
      </c>
      <c r="B1100" s="1417"/>
      <c r="C1100" s="1418"/>
      <c r="D1100" s="573"/>
      <c r="E1100" s="574" t="s">
        <v>553</v>
      </c>
      <c r="F1100" s="205">
        <f>F1101+F1110+F1114+F1122+F1134+F1138+F1151+F1155+F1169+F1174+F1146</f>
        <v>21379288</v>
      </c>
    </row>
    <row r="1101" spans="1:7" ht="17.100000000000001" customHeight="1">
      <c r="A1101" s="653"/>
      <c r="B1101" s="1419" t="s">
        <v>554</v>
      </c>
      <c r="C1101" s="1420"/>
      <c r="D1101" s="603"/>
      <c r="E1101" s="577" t="s">
        <v>555</v>
      </c>
      <c r="F1101" s="206">
        <f>F1102+F1106</f>
        <v>7186966</v>
      </c>
    </row>
    <row r="1102" spans="1:7" ht="17.100000000000001" customHeight="1">
      <c r="A1102" s="623"/>
      <c r="B1102" s="1421"/>
      <c r="C1102" s="1422"/>
      <c r="D1102" s="1271" t="s">
        <v>146</v>
      </c>
      <c r="E1102" s="1272"/>
      <c r="F1102" s="234">
        <f>F1103</f>
        <v>135950</v>
      </c>
    </row>
    <row r="1103" spans="1:7" ht="17.100000000000001" customHeight="1">
      <c r="A1103" s="623"/>
      <c r="B1103" s="1423"/>
      <c r="C1103" s="1424"/>
      <c r="D1103" s="1425" t="s">
        <v>17</v>
      </c>
      <c r="E1103" s="1283"/>
      <c r="F1103" s="210">
        <f>F1104</f>
        <v>135950</v>
      </c>
    </row>
    <row r="1104" spans="1:7" ht="25.5">
      <c r="A1104" s="623"/>
      <c r="B1104" s="1423"/>
      <c r="C1104" s="1424"/>
      <c r="D1104" s="235" t="s">
        <v>556</v>
      </c>
      <c r="E1104" s="654" t="s">
        <v>557</v>
      </c>
      <c r="F1104" s="210">
        <v>135950</v>
      </c>
    </row>
    <row r="1105" spans="1:6" ht="17.100000000000001" customHeight="1">
      <c r="A1105" s="623"/>
      <c r="B1105" s="1423"/>
      <c r="C1105" s="1424"/>
      <c r="D1105" s="1423"/>
      <c r="E1105" s="1423"/>
      <c r="F1105" s="1424"/>
    </row>
    <row r="1106" spans="1:6" ht="17.100000000000001" customHeight="1">
      <c r="A1106" s="623"/>
      <c r="B1106" s="1423"/>
      <c r="C1106" s="1424"/>
      <c r="D1106" s="1426" t="s">
        <v>202</v>
      </c>
      <c r="E1106" s="1427"/>
      <c r="F1106" s="207">
        <f>F1107</f>
        <v>7051016</v>
      </c>
    </row>
    <row r="1107" spans="1:6" ht="17.100000000000001" customHeight="1">
      <c r="A1107" s="623"/>
      <c r="B1107" s="1423"/>
      <c r="C1107" s="1424"/>
      <c r="D1107" s="1391" t="s">
        <v>203</v>
      </c>
      <c r="E1107" s="1286"/>
      <c r="F1107" s="210">
        <f>F1108+F1109</f>
        <v>7051016</v>
      </c>
    </row>
    <row r="1108" spans="1:6" ht="37.5" customHeight="1">
      <c r="A1108" s="623"/>
      <c r="B1108" s="1423"/>
      <c r="C1108" s="1424"/>
      <c r="D1108" s="655" t="s">
        <v>284</v>
      </c>
      <c r="E1108" s="579" t="s">
        <v>280</v>
      </c>
      <c r="F1108" s="210">
        <v>51016</v>
      </c>
    </row>
    <row r="1109" spans="1:6" ht="37.5" customHeight="1">
      <c r="A1109" s="623"/>
      <c r="B1109" s="656"/>
      <c r="C1109" s="657"/>
      <c r="D1109" s="624" t="s">
        <v>558</v>
      </c>
      <c r="E1109" s="579" t="s">
        <v>559</v>
      </c>
      <c r="F1109" s="210">
        <v>7000000</v>
      </c>
    </row>
    <row r="1110" spans="1:6" ht="19.5" customHeight="1">
      <c r="A1110" s="623"/>
      <c r="B1110" s="561"/>
      <c r="C1110" s="658" t="s">
        <v>560</v>
      </c>
      <c r="D1110" s="236"/>
      <c r="E1110" s="659" t="s">
        <v>561</v>
      </c>
      <c r="F1110" s="214">
        <f>F1111</f>
        <v>10800000</v>
      </c>
    </row>
    <row r="1111" spans="1:6" ht="17.100000000000001" customHeight="1">
      <c r="A1111" s="575"/>
      <c r="B1111" s="593"/>
      <c r="C1111" s="1268"/>
      <c r="D1111" s="1312" t="s">
        <v>202</v>
      </c>
      <c r="E1111" s="1313"/>
      <c r="F1111" s="207">
        <f>F1112</f>
        <v>10800000</v>
      </c>
    </row>
    <row r="1112" spans="1:6" ht="17.100000000000001" customHeight="1">
      <c r="A1112" s="575"/>
      <c r="B1112" s="593"/>
      <c r="C1112" s="1270"/>
      <c r="D1112" s="1285" t="s">
        <v>562</v>
      </c>
      <c r="E1112" s="1286"/>
      <c r="F1112" s="210">
        <f>F1113</f>
        <v>10800000</v>
      </c>
    </row>
    <row r="1113" spans="1:6" ht="38.25">
      <c r="A1113" s="575"/>
      <c r="B1113" s="593"/>
      <c r="C1113" s="1298"/>
      <c r="D1113" s="578" t="s">
        <v>563</v>
      </c>
      <c r="E1113" s="579" t="s">
        <v>564</v>
      </c>
      <c r="F1113" s="210">
        <v>10800000</v>
      </c>
    </row>
    <row r="1114" spans="1:6" ht="17.100000000000001" hidden="1" customHeight="1">
      <c r="A1114" s="575"/>
      <c r="B1114" s="593"/>
      <c r="C1114" s="537" t="s">
        <v>565</v>
      </c>
      <c r="D1114" s="660"/>
      <c r="E1114" s="661" t="s">
        <v>566</v>
      </c>
      <c r="F1114" s="214">
        <f>F1119+F1115</f>
        <v>0</v>
      </c>
    </row>
    <row r="1115" spans="1:6" ht="17.100000000000001" hidden="1" customHeight="1">
      <c r="A1115" s="575"/>
      <c r="B1115" s="593"/>
      <c r="C1115" s="1415"/>
      <c r="D1115" s="1347" t="s">
        <v>146</v>
      </c>
      <c r="E1115" s="1408"/>
      <c r="F1115" s="219">
        <f>F1116</f>
        <v>0</v>
      </c>
    </row>
    <row r="1116" spans="1:6" ht="17.100000000000001" hidden="1" customHeight="1">
      <c r="A1116" s="575"/>
      <c r="B1116" s="593"/>
      <c r="C1116" s="1344"/>
      <c r="D1116" s="1349" t="s">
        <v>17</v>
      </c>
      <c r="E1116" s="1348"/>
      <c r="F1116" s="219">
        <f>F1117</f>
        <v>0</v>
      </c>
    </row>
    <row r="1117" spans="1:6" ht="30" hidden="1" customHeight="1">
      <c r="A1117" s="575"/>
      <c r="B1117" s="593"/>
      <c r="C1117" s="1344"/>
      <c r="D1117" s="609" t="s">
        <v>556</v>
      </c>
      <c r="E1117" s="608" t="s">
        <v>557</v>
      </c>
      <c r="F1117" s="219">
        <v>0</v>
      </c>
    </row>
    <row r="1118" spans="1:6" ht="17.100000000000001" hidden="1" customHeight="1">
      <c r="A1118" s="575"/>
      <c r="B1118" s="593"/>
      <c r="C1118" s="1344"/>
      <c r="D1118" s="1416"/>
      <c r="E1118" s="1291"/>
      <c r="F1118" s="1292"/>
    </row>
    <row r="1119" spans="1:6" ht="17.100000000000001" hidden="1" customHeight="1">
      <c r="A1119" s="575"/>
      <c r="B1119" s="593"/>
      <c r="C1119" s="1344"/>
      <c r="D1119" s="1312" t="s">
        <v>319</v>
      </c>
      <c r="E1119" s="1313"/>
      <c r="F1119" s="207">
        <f>F1120</f>
        <v>0</v>
      </c>
    </row>
    <row r="1120" spans="1:6" ht="17.100000000000001" hidden="1" customHeight="1">
      <c r="A1120" s="575"/>
      <c r="B1120" s="593"/>
      <c r="C1120" s="1344"/>
      <c r="D1120" s="1285" t="s">
        <v>203</v>
      </c>
      <c r="E1120" s="1286"/>
      <c r="F1120" s="210">
        <f>F1121</f>
        <v>0</v>
      </c>
    </row>
    <row r="1121" spans="1:6" ht="38.25" hidden="1">
      <c r="A1121" s="575"/>
      <c r="B1121" s="593"/>
      <c r="C1121" s="1346"/>
      <c r="D1121" s="578" t="s">
        <v>558</v>
      </c>
      <c r="E1121" s="579" t="s">
        <v>559</v>
      </c>
      <c r="F1121" s="210">
        <v>0</v>
      </c>
    </row>
    <row r="1122" spans="1:6" ht="17.100000000000001" customHeight="1">
      <c r="A1122" s="623"/>
      <c r="B1122" s="561"/>
      <c r="C1122" s="539" t="s">
        <v>567</v>
      </c>
      <c r="D1122" s="576"/>
      <c r="E1122" s="577" t="s">
        <v>568</v>
      </c>
      <c r="F1122" s="206">
        <f>F1123+F1127</f>
        <v>15000</v>
      </c>
    </row>
    <row r="1123" spans="1:6" ht="17.100000000000001" hidden="1" customHeight="1">
      <c r="A1123" s="623"/>
      <c r="B1123" s="561"/>
      <c r="C1123" s="1428"/>
      <c r="D1123" s="1397" t="s">
        <v>146</v>
      </c>
      <c r="E1123" s="1313"/>
      <c r="F1123" s="234">
        <f>F1124</f>
        <v>0</v>
      </c>
    </row>
    <row r="1124" spans="1:6" ht="17.100000000000001" hidden="1" customHeight="1">
      <c r="A1124" s="623"/>
      <c r="B1124" s="561"/>
      <c r="C1124" s="1386"/>
      <c r="D1124" s="1425" t="s">
        <v>17</v>
      </c>
      <c r="E1124" s="1283"/>
      <c r="F1124" s="210">
        <f>F1125</f>
        <v>0</v>
      </c>
    </row>
    <row r="1125" spans="1:6" ht="25.5" hidden="1">
      <c r="A1125" s="623"/>
      <c r="B1125" s="561"/>
      <c r="C1125" s="1386"/>
      <c r="D1125" s="235" t="s">
        <v>556</v>
      </c>
      <c r="E1125" s="654" t="s">
        <v>557</v>
      </c>
      <c r="F1125" s="210"/>
    </row>
    <row r="1126" spans="1:6" hidden="1">
      <c r="A1126" s="623"/>
      <c r="B1126" s="561"/>
      <c r="C1126" s="1386"/>
      <c r="D1126" s="1423"/>
      <c r="E1126" s="1423"/>
      <c r="F1126" s="1424"/>
    </row>
    <row r="1127" spans="1:6" ht="17.100000000000001" customHeight="1">
      <c r="A1127" s="623"/>
      <c r="B1127" s="561"/>
      <c r="C1127" s="1386"/>
      <c r="D1127" s="1271" t="s">
        <v>146</v>
      </c>
      <c r="E1127" s="1272"/>
      <c r="F1127" s="207">
        <f>F1128</f>
        <v>15000</v>
      </c>
    </row>
    <row r="1128" spans="1:6" ht="17.100000000000001" customHeight="1">
      <c r="A1128" s="623"/>
      <c r="B1128" s="561"/>
      <c r="C1128" s="1386"/>
      <c r="D1128" s="1425" t="s">
        <v>17</v>
      </c>
      <c r="E1128" s="1283"/>
      <c r="F1128" s="210">
        <f>F1129</f>
        <v>15000</v>
      </c>
    </row>
    <row r="1129" spans="1:6" ht="25.5">
      <c r="A1129" s="623"/>
      <c r="B1129" s="561"/>
      <c r="C1129" s="1386"/>
      <c r="D1129" s="662" t="s">
        <v>556</v>
      </c>
      <c r="E1129" s="663" t="s">
        <v>557</v>
      </c>
      <c r="F1129" s="585">
        <v>15000</v>
      </c>
    </row>
    <row r="1130" spans="1:6" ht="16.5" hidden="1" customHeight="1">
      <c r="A1130" s="623"/>
      <c r="B1130" s="561"/>
      <c r="C1130" s="1288"/>
      <c r="D1130" s="237"/>
      <c r="E1130" s="238"/>
      <c r="F1130" s="239"/>
    </row>
    <row r="1131" spans="1:6" ht="16.5" hidden="1" customHeight="1">
      <c r="A1131" s="623"/>
      <c r="B1131" s="561"/>
      <c r="C1131" s="1386"/>
      <c r="D1131" s="1430" t="s">
        <v>202</v>
      </c>
      <c r="E1131" s="1431"/>
      <c r="F1131" s="601"/>
    </row>
    <row r="1132" spans="1:6" ht="17.100000000000001" hidden="1" customHeight="1">
      <c r="A1132" s="623"/>
      <c r="B1132" s="561"/>
      <c r="C1132" s="1386"/>
      <c r="D1132" s="1391" t="s">
        <v>203</v>
      </c>
      <c r="E1132" s="1286"/>
      <c r="F1132" s="210">
        <f>F1133</f>
        <v>0</v>
      </c>
    </row>
    <row r="1133" spans="1:6" ht="38.25" hidden="1">
      <c r="A1133" s="623"/>
      <c r="B1133" s="561"/>
      <c r="C1133" s="1429"/>
      <c r="D1133" s="655" t="s">
        <v>558</v>
      </c>
      <c r="E1133" s="579" t="s">
        <v>559</v>
      </c>
      <c r="F1133" s="210">
        <v>0</v>
      </c>
    </row>
    <row r="1134" spans="1:6" ht="17.100000000000001" hidden="1" customHeight="1">
      <c r="A1134" s="623"/>
      <c r="B1134" s="1370" t="s">
        <v>569</v>
      </c>
      <c r="C1134" s="1266"/>
      <c r="D1134" s="576"/>
      <c r="E1134" s="577" t="s">
        <v>570</v>
      </c>
      <c r="F1134" s="206">
        <f>F1135</f>
        <v>0</v>
      </c>
    </row>
    <row r="1135" spans="1:6" ht="17.100000000000001" hidden="1" customHeight="1">
      <c r="A1135" s="623"/>
      <c r="B1135" s="1287"/>
      <c r="C1135" s="1268"/>
      <c r="D1135" s="1312" t="s">
        <v>319</v>
      </c>
      <c r="E1135" s="1313"/>
      <c r="F1135" s="207">
        <f>F1136</f>
        <v>0</v>
      </c>
    </row>
    <row r="1136" spans="1:6" ht="17.100000000000001" hidden="1" customHeight="1">
      <c r="A1136" s="623"/>
      <c r="B1136" s="1288"/>
      <c r="C1136" s="1270"/>
      <c r="D1136" s="1285" t="s">
        <v>292</v>
      </c>
      <c r="E1136" s="1286"/>
      <c r="F1136" s="210">
        <f>F1137</f>
        <v>0</v>
      </c>
    </row>
    <row r="1137" spans="1:6" ht="39" hidden="1" customHeight="1">
      <c r="A1137" s="623"/>
      <c r="B1137" s="1382"/>
      <c r="C1137" s="1298"/>
      <c r="D1137" s="578" t="s">
        <v>558</v>
      </c>
      <c r="E1137" s="579" t="s">
        <v>559</v>
      </c>
      <c r="F1137" s="210"/>
    </row>
    <row r="1138" spans="1:6" ht="17.100000000000001" customHeight="1">
      <c r="A1138" s="623"/>
      <c r="B1138" s="1370" t="s">
        <v>571</v>
      </c>
      <c r="C1138" s="1266"/>
      <c r="D1138" s="576"/>
      <c r="E1138" s="577" t="s">
        <v>572</v>
      </c>
      <c r="F1138" s="206">
        <f>F1139</f>
        <v>2266950</v>
      </c>
    </row>
    <row r="1139" spans="1:6" ht="17.100000000000001" customHeight="1">
      <c r="A1139" s="575"/>
      <c r="B1139" s="580"/>
      <c r="C1139" s="550"/>
      <c r="D1139" s="1271" t="s">
        <v>146</v>
      </c>
      <c r="E1139" s="1272"/>
      <c r="F1139" s="207">
        <f>F1140+F1144</f>
        <v>2266950</v>
      </c>
    </row>
    <row r="1140" spans="1:6" ht="17.100000000000001" customHeight="1">
      <c r="A1140" s="575"/>
      <c r="B1140" s="580"/>
      <c r="C1140" s="550"/>
      <c r="D1140" s="1273" t="s">
        <v>147</v>
      </c>
      <c r="E1140" s="1283"/>
      <c r="F1140" s="210">
        <f>F1141</f>
        <v>1195000</v>
      </c>
    </row>
    <row r="1141" spans="1:6" ht="17.100000000000001" customHeight="1">
      <c r="A1141" s="575"/>
      <c r="B1141" s="1277"/>
      <c r="C1141" s="1278"/>
      <c r="D1141" s="1279" t="s">
        <v>159</v>
      </c>
      <c r="E1141" s="1280"/>
      <c r="F1141" s="210">
        <f>F1142</f>
        <v>1195000</v>
      </c>
    </row>
    <row r="1142" spans="1:6" ht="17.100000000000001" customHeight="1">
      <c r="A1142" s="575"/>
      <c r="B1142" s="1277"/>
      <c r="C1142" s="1278"/>
      <c r="D1142" s="578" t="s">
        <v>168</v>
      </c>
      <c r="E1142" s="579" t="s">
        <v>169</v>
      </c>
      <c r="F1142" s="210">
        <v>1195000</v>
      </c>
    </row>
    <row r="1143" spans="1:6" ht="17.100000000000001" customHeight="1">
      <c r="A1143" s="575"/>
      <c r="B1143" s="1277"/>
      <c r="C1143" s="1278"/>
      <c r="D1143" s="1277"/>
      <c r="E1143" s="1281"/>
      <c r="F1143" s="1282"/>
    </row>
    <row r="1144" spans="1:6" ht="17.100000000000001" customHeight="1">
      <c r="A1144" s="575"/>
      <c r="B1144" s="1277"/>
      <c r="C1144" s="1278"/>
      <c r="D1144" s="1285" t="s">
        <v>209</v>
      </c>
      <c r="E1144" s="1286"/>
      <c r="F1144" s="210">
        <f>F1145</f>
        <v>1071950</v>
      </c>
    </row>
    <row r="1145" spans="1:6" ht="36" customHeight="1">
      <c r="A1145" s="575"/>
      <c r="B1145" s="1277"/>
      <c r="C1145" s="1278"/>
      <c r="D1145" s="578" t="s">
        <v>556</v>
      </c>
      <c r="E1145" s="579" t="s">
        <v>557</v>
      </c>
      <c r="F1145" s="210">
        <v>1071950</v>
      </c>
    </row>
    <row r="1146" spans="1:6" ht="19.5" customHeight="1">
      <c r="A1146" s="575"/>
      <c r="B1146" s="580"/>
      <c r="C1146" s="603" t="s">
        <v>573</v>
      </c>
      <c r="D1146" s="664"/>
      <c r="E1146" s="577" t="s">
        <v>574</v>
      </c>
      <c r="F1146" s="206">
        <f>F1147</f>
        <v>70000</v>
      </c>
    </row>
    <row r="1147" spans="1:6" ht="19.5" customHeight="1">
      <c r="A1147" s="575"/>
      <c r="B1147" s="580"/>
      <c r="C1147" s="566"/>
      <c r="D1147" s="1271" t="s">
        <v>146</v>
      </c>
      <c r="E1147" s="1272"/>
      <c r="F1147" s="218">
        <f>F1148</f>
        <v>70000</v>
      </c>
    </row>
    <row r="1148" spans="1:6" ht="19.5" customHeight="1">
      <c r="A1148" s="575"/>
      <c r="B1148" s="580"/>
      <c r="C1148" s="566"/>
      <c r="D1148" s="1349" t="s">
        <v>147</v>
      </c>
      <c r="E1148" s="1408"/>
      <c r="F1148" s="219">
        <f>F1149</f>
        <v>70000</v>
      </c>
    </row>
    <row r="1149" spans="1:6" ht="19.5" customHeight="1">
      <c r="A1149" s="575"/>
      <c r="B1149" s="580"/>
      <c r="C1149" s="566"/>
      <c r="D1149" s="1432" t="s">
        <v>159</v>
      </c>
      <c r="E1149" s="1433"/>
      <c r="F1149" s="219">
        <f>F1150</f>
        <v>70000</v>
      </c>
    </row>
    <row r="1150" spans="1:6" ht="19.5" customHeight="1">
      <c r="A1150" s="575"/>
      <c r="B1150" s="580"/>
      <c r="C1150" s="566"/>
      <c r="D1150" s="609" t="s">
        <v>170</v>
      </c>
      <c r="E1150" s="610" t="s">
        <v>171</v>
      </c>
      <c r="F1150" s="219">
        <f>70000</f>
        <v>70000</v>
      </c>
    </row>
    <row r="1151" spans="1:6" ht="17.100000000000001" customHeight="1">
      <c r="A1151" s="575"/>
      <c r="B1151" s="1265" t="s">
        <v>575</v>
      </c>
      <c r="C1151" s="1266"/>
      <c r="D1151" s="576"/>
      <c r="E1151" s="577" t="s">
        <v>576</v>
      </c>
      <c r="F1151" s="206">
        <f>F1152</f>
        <v>63585</v>
      </c>
    </row>
    <row r="1152" spans="1:6" ht="17.100000000000001" customHeight="1">
      <c r="A1152" s="575"/>
      <c r="B1152" s="1267"/>
      <c r="C1152" s="1268"/>
      <c r="D1152" s="1312" t="s">
        <v>146</v>
      </c>
      <c r="E1152" s="1313"/>
      <c r="F1152" s="207">
        <f>F1153</f>
        <v>63585</v>
      </c>
    </row>
    <row r="1153" spans="1:6" ht="17.100000000000001" customHeight="1">
      <c r="A1153" s="575"/>
      <c r="B1153" s="1269"/>
      <c r="C1153" s="1270"/>
      <c r="D1153" s="1285" t="s">
        <v>209</v>
      </c>
      <c r="E1153" s="1286"/>
      <c r="F1153" s="210">
        <f>F1154</f>
        <v>63585</v>
      </c>
    </row>
    <row r="1154" spans="1:6" ht="50.25" customHeight="1">
      <c r="A1154" s="575"/>
      <c r="B1154" s="1297"/>
      <c r="C1154" s="1298"/>
      <c r="D1154" s="578" t="s">
        <v>261</v>
      </c>
      <c r="E1154" s="579" t="s">
        <v>262</v>
      </c>
      <c r="F1154" s="210">
        <v>63585</v>
      </c>
    </row>
    <row r="1155" spans="1:6" ht="17.100000000000001" customHeight="1">
      <c r="A1155" s="575"/>
      <c r="B1155" s="1265" t="s">
        <v>577</v>
      </c>
      <c r="C1155" s="1266"/>
      <c r="D1155" s="576"/>
      <c r="E1155" s="577" t="s">
        <v>578</v>
      </c>
      <c r="F1155" s="206">
        <f>F1156+F1166</f>
        <v>476991</v>
      </c>
    </row>
    <row r="1156" spans="1:6" ht="17.100000000000001" customHeight="1">
      <c r="A1156" s="575"/>
      <c r="B1156" s="580"/>
      <c r="C1156" s="550"/>
      <c r="D1156" s="1271" t="s">
        <v>146</v>
      </c>
      <c r="E1156" s="1272"/>
      <c r="F1156" s="207">
        <f>F1157+F1162</f>
        <v>476991</v>
      </c>
    </row>
    <row r="1157" spans="1:6" ht="17.100000000000001" customHeight="1">
      <c r="A1157" s="575"/>
      <c r="B1157" s="580"/>
      <c r="C1157" s="550"/>
      <c r="D1157" s="1273" t="s">
        <v>147</v>
      </c>
      <c r="E1157" s="1283"/>
      <c r="F1157" s="210">
        <f>F1158</f>
        <v>72900</v>
      </c>
    </row>
    <row r="1158" spans="1:6" ht="17.100000000000001" customHeight="1">
      <c r="A1158" s="575"/>
      <c r="B1158" s="580"/>
      <c r="C1158" s="550"/>
      <c r="D1158" s="1279" t="s">
        <v>159</v>
      </c>
      <c r="E1158" s="1280"/>
      <c r="F1158" s="210">
        <f>SUM(F1159:F1160)</f>
        <v>72900</v>
      </c>
    </row>
    <row r="1159" spans="1:6" ht="17.100000000000001" customHeight="1">
      <c r="A1159" s="575"/>
      <c r="B1159" s="1277"/>
      <c r="C1159" s="1278"/>
      <c r="D1159" s="578" t="s">
        <v>162</v>
      </c>
      <c r="E1159" s="579" t="s">
        <v>163</v>
      </c>
      <c r="F1159" s="210">
        <v>20000</v>
      </c>
    </row>
    <row r="1160" spans="1:6" ht="17.100000000000001" customHeight="1">
      <c r="A1160" s="575"/>
      <c r="B1160" s="1277"/>
      <c r="C1160" s="1278"/>
      <c r="D1160" s="578" t="s">
        <v>257</v>
      </c>
      <c r="E1160" s="579" t="s">
        <v>258</v>
      </c>
      <c r="F1160" s="210">
        <v>52900</v>
      </c>
    </row>
    <row r="1161" spans="1:6" ht="17.100000000000001" customHeight="1">
      <c r="A1161" s="575"/>
      <c r="B1161" s="580"/>
      <c r="C1161" s="550"/>
      <c r="D1161" s="1277"/>
      <c r="E1161" s="1281"/>
      <c r="F1161" s="1282"/>
    </row>
    <row r="1162" spans="1:6" ht="17.100000000000001" customHeight="1">
      <c r="A1162" s="575"/>
      <c r="B1162" s="580"/>
      <c r="C1162" s="550"/>
      <c r="D1162" s="1285" t="s">
        <v>209</v>
      </c>
      <c r="E1162" s="1286"/>
      <c r="F1162" s="210">
        <f>SUM(F1163:F1164)</f>
        <v>404091</v>
      </c>
    </row>
    <row r="1163" spans="1:6" ht="39" customHeight="1">
      <c r="A1163" s="575"/>
      <c r="B1163" s="580"/>
      <c r="C1163" s="550"/>
      <c r="D1163" s="578" t="s">
        <v>261</v>
      </c>
      <c r="E1163" s="579" t="s">
        <v>262</v>
      </c>
      <c r="F1163" s="210">
        <v>404091</v>
      </c>
    </row>
    <row r="1164" spans="1:6" ht="39" hidden="1" customHeight="1">
      <c r="A1164" s="575"/>
      <c r="B1164" s="580"/>
      <c r="C1164" s="550"/>
      <c r="D1164" s="578" t="s">
        <v>556</v>
      </c>
      <c r="E1164" s="579" t="s">
        <v>557</v>
      </c>
      <c r="F1164" s="210"/>
    </row>
    <row r="1165" spans="1:6" ht="17.100000000000001" hidden="1" customHeight="1">
      <c r="A1165" s="575"/>
      <c r="B1165" s="580"/>
      <c r="C1165" s="550"/>
      <c r="D1165" s="1277"/>
      <c r="E1165" s="1281"/>
      <c r="F1165" s="1282"/>
    </row>
    <row r="1166" spans="1:6" ht="17.100000000000001" hidden="1" customHeight="1">
      <c r="A1166" s="575"/>
      <c r="B1166" s="580"/>
      <c r="C1166" s="550"/>
      <c r="D1166" s="1312" t="s">
        <v>319</v>
      </c>
      <c r="E1166" s="1313"/>
      <c r="F1166" s="207">
        <f>F1167</f>
        <v>0</v>
      </c>
    </row>
    <row r="1167" spans="1:6" ht="17.100000000000001" hidden="1" customHeight="1">
      <c r="A1167" s="575"/>
      <c r="B1167" s="580"/>
      <c r="C1167" s="550"/>
      <c r="D1167" s="1285" t="s">
        <v>292</v>
      </c>
      <c r="E1167" s="1286"/>
      <c r="F1167" s="210">
        <f>F1168</f>
        <v>0</v>
      </c>
    </row>
    <row r="1168" spans="1:6" ht="39" hidden="1" customHeight="1">
      <c r="A1168" s="575"/>
      <c r="B1168" s="580"/>
      <c r="C1168" s="550"/>
      <c r="D1168" s="578" t="s">
        <v>558</v>
      </c>
      <c r="E1168" s="579" t="s">
        <v>559</v>
      </c>
      <c r="F1168" s="210"/>
    </row>
    <row r="1169" spans="1:6" ht="27.75" customHeight="1">
      <c r="A1169" s="575"/>
      <c r="B1169" s="1265" t="s">
        <v>579</v>
      </c>
      <c r="C1169" s="1266"/>
      <c r="D1169" s="576"/>
      <c r="E1169" s="577" t="s">
        <v>580</v>
      </c>
      <c r="F1169" s="206">
        <f>F1170</f>
        <v>27000</v>
      </c>
    </row>
    <row r="1170" spans="1:6" ht="17.100000000000001" customHeight="1">
      <c r="A1170" s="575"/>
      <c r="B1170" s="1267"/>
      <c r="C1170" s="1268"/>
      <c r="D1170" s="1271" t="s">
        <v>146</v>
      </c>
      <c r="E1170" s="1272"/>
      <c r="F1170" s="207">
        <f>F1171</f>
        <v>27000</v>
      </c>
    </row>
    <row r="1171" spans="1:6" ht="17.100000000000001" customHeight="1">
      <c r="A1171" s="575"/>
      <c r="B1171" s="1269"/>
      <c r="C1171" s="1270"/>
      <c r="D1171" s="1273" t="s">
        <v>147</v>
      </c>
      <c r="E1171" s="1283"/>
      <c r="F1171" s="210">
        <f>F1172</f>
        <v>27000</v>
      </c>
    </row>
    <row r="1172" spans="1:6" ht="17.100000000000001" customHeight="1">
      <c r="A1172" s="575"/>
      <c r="B1172" s="1269"/>
      <c r="C1172" s="1270"/>
      <c r="D1172" s="1279" t="s">
        <v>159</v>
      </c>
      <c r="E1172" s="1280"/>
      <c r="F1172" s="210">
        <f>F1173</f>
        <v>27000</v>
      </c>
    </row>
    <row r="1173" spans="1:6" ht="17.100000000000001" customHeight="1">
      <c r="A1173" s="575"/>
      <c r="B1173" s="1297"/>
      <c r="C1173" s="1298"/>
      <c r="D1173" s="578" t="s">
        <v>581</v>
      </c>
      <c r="E1173" s="579" t="s">
        <v>582</v>
      </c>
      <c r="F1173" s="210">
        <v>27000</v>
      </c>
    </row>
    <row r="1174" spans="1:6" ht="17.100000000000001" customHeight="1">
      <c r="A1174" s="575"/>
      <c r="B1174" s="1265" t="s">
        <v>583</v>
      </c>
      <c r="C1174" s="1266"/>
      <c r="D1174" s="576"/>
      <c r="E1174" s="577" t="s">
        <v>129</v>
      </c>
      <c r="F1174" s="206">
        <f>F1175</f>
        <v>472796</v>
      </c>
    </row>
    <row r="1175" spans="1:6" ht="17.100000000000001" customHeight="1">
      <c r="A1175" s="575"/>
      <c r="B1175" s="594"/>
      <c r="C1175" s="549"/>
      <c r="D1175" s="1271" t="s">
        <v>146</v>
      </c>
      <c r="E1175" s="1272"/>
      <c r="F1175" s="207">
        <f>F1176+F1185</f>
        <v>472796</v>
      </c>
    </row>
    <row r="1176" spans="1:6" ht="17.100000000000001" customHeight="1">
      <c r="A1176" s="575"/>
      <c r="B1176" s="580"/>
      <c r="C1176" s="550"/>
      <c r="D1176" s="1273" t="s">
        <v>147</v>
      </c>
      <c r="E1176" s="1283"/>
      <c r="F1176" s="210">
        <f>F1177+F1182</f>
        <v>17500</v>
      </c>
    </row>
    <row r="1177" spans="1:6" ht="17.100000000000001" customHeight="1">
      <c r="A1177" s="575"/>
      <c r="B1177" s="580"/>
      <c r="C1177" s="550"/>
      <c r="D1177" s="1275" t="s">
        <v>148</v>
      </c>
      <c r="E1177" s="1284"/>
      <c r="F1177" s="210">
        <f>SUM(F1178:F1180)</f>
        <v>13678</v>
      </c>
    </row>
    <row r="1178" spans="1:6" ht="17.100000000000001" customHeight="1">
      <c r="A1178" s="575"/>
      <c r="B1178" s="1277"/>
      <c r="C1178" s="1278"/>
      <c r="D1178" s="578" t="s">
        <v>153</v>
      </c>
      <c r="E1178" s="579" t="s">
        <v>154</v>
      </c>
      <c r="F1178" s="210">
        <v>1965</v>
      </c>
    </row>
    <row r="1179" spans="1:6" ht="17.100000000000001" customHeight="1">
      <c r="A1179" s="575"/>
      <c r="B1179" s="1277"/>
      <c r="C1179" s="1278"/>
      <c r="D1179" s="583" t="s">
        <v>155</v>
      </c>
      <c r="E1179" s="584" t="s">
        <v>156</v>
      </c>
      <c r="F1179" s="585">
        <v>280</v>
      </c>
    </row>
    <row r="1180" spans="1:6" ht="17.100000000000001" customHeight="1">
      <c r="A1180" s="575"/>
      <c r="B1180" s="580"/>
      <c r="C1180" s="550"/>
      <c r="D1180" s="578" t="s">
        <v>157</v>
      </c>
      <c r="E1180" s="579" t="s">
        <v>158</v>
      </c>
      <c r="F1180" s="612">
        <v>11433</v>
      </c>
    </row>
    <row r="1181" spans="1:6" ht="17.100000000000001" customHeight="1">
      <c r="A1181" s="575"/>
      <c r="B1181" s="580"/>
      <c r="C1181" s="550"/>
      <c r="D1181" s="1277"/>
      <c r="E1181" s="1281"/>
      <c r="F1181" s="1282"/>
    </row>
    <row r="1182" spans="1:6" ht="17.100000000000001" customHeight="1">
      <c r="A1182" s="575"/>
      <c r="B1182" s="580"/>
      <c r="C1182" s="550"/>
      <c r="D1182" s="1279" t="s">
        <v>159</v>
      </c>
      <c r="E1182" s="1280"/>
      <c r="F1182" s="210">
        <f>F1183</f>
        <v>3822</v>
      </c>
    </row>
    <row r="1183" spans="1:6" ht="17.100000000000001" customHeight="1">
      <c r="A1183" s="575"/>
      <c r="B1183" s="1277"/>
      <c r="C1183" s="1278"/>
      <c r="D1183" s="578" t="s">
        <v>170</v>
      </c>
      <c r="E1183" s="579" t="s">
        <v>171</v>
      </c>
      <c r="F1183" s="210">
        <v>3822</v>
      </c>
    </row>
    <row r="1184" spans="1:6" ht="17.100000000000001" customHeight="1">
      <c r="A1184" s="575"/>
      <c r="B1184" s="580"/>
      <c r="C1184" s="550"/>
      <c r="D1184" s="587"/>
      <c r="E1184" s="665"/>
      <c r="F1184" s="239"/>
    </row>
    <row r="1185" spans="1:6" ht="16.5" customHeight="1">
      <c r="A1185" s="575"/>
      <c r="B1185" s="594"/>
      <c r="C1185" s="549"/>
      <c r="D1185" s="1273" t="s">
        <v>209</v>
      </c>
      <c r="E1185" s="1283"/>
      <c r="F1185" s="210">
        <f>F1186+F1187</f>
        <v>455296</v>
      </c>
    </row>
    <row r="1186" spans="1:6" ht="38.25">
      <c r="A1186" s="575"/>
      <c r="B1186" s="594"/>
      <c r="C1186" s="549"/>
      <c r="D1186" s="578" t="s">
        <v>279</v>
      </c>
      <c r="E1186" s="579" t="s">
        <v>280</v>
      </c>
      <c r="F1186" s="210">
        <v>227648</v>
      </c>
    </row>
    <row r="1187" spans="1:6" ht="51">
      <c r="A1187" s="575"/>
      <c r="B1187" s="580"/>
      <c r="C1187" s="550"/>
      <c r="D1187" s="578" t="s">
        <v>282</v>
      </c>
      <c r="E1187" s="534" t="s">
        <v>467</v>
      </c>
      <c r="F1187" s="210">
        <v>227648</v>
      </c>
    </row>
    <row r="1188" spans="1:6" ht="17.100000000000001" customHeight="1">
      <c r="A1188" s="572" t="s">
        <v>584</v>
      </c>
      <c r="B1188" s="1263"/>
      <c r="C1188" s="1264"/>
      <c r="D1188" s="573"/>
      <c r="E1188" s="574" t="s">
        <v>585</v>
      </c>
      <c r="F1188" s="205">
        <f>F1189+F1197+F1229+F1267+F1271+F1275+F1304+F1193</f>
        <v>17215664</v>
      </c>
    </row>
    <row r="1189" spans="1:6" ht="17.100000000000001" customHeight="1">
      <c r="A1189" s="666"/>
      <c r="B1189" s="667"/>
      <c r="C1189" s="668" t="s">
        <v>586</v>
      </c>
      <c r="D1189" s="616"/>
      <c r="E1189" s="617" t="s">
        <v>587</v>
      </c>
      <c r="F1189" s="206">
        <f>F1190</f>
        <v>200000</v>
      </c>
    </row>
    <row r="1190" spans="1:6" ht="17.100000000000001" customHeight="1">
      <c r="A1190" s="666"/>
      <c r="B1190" s="667"/>
      <c r="C1190" s="1434"/>
      <c r="D1190" s="1271" t="s">
        <v>146</v>
      </c>
      <c r="E1190" s="1272"/>
      <c r="F1190" s="207">
        <f>F1191</f>
        <v>200000</v>
      </c>
    </row>
    <row r="1191" spans="1:6" ht="17.100000000000001" customHeight="1">
      <c r="A1191" s="666"/>
      <c r="B1191" s="667"/>
      <c r="C1191" s="1435"/>
      <c r="D1191" s="1273" t="s">
        <v>209</v>
      </c>
      <c r="E1191" s="1283"/>
      <c r="F1191" s="210">
        <f>SUM(F1192:F1192)</f>
        <v>200000</v>
      </c>
    </row>
    <row r="1192" spans="1:6" ht="38.25">
      <c r="A1192" s="666"/>
      <c r="B1192" s="667"/>
      <c r="C1192" s="1435"/>
      <c r="D1192" s="669" t="s">
        <v>261</v>
      </c>
      <c r="E1192" s="670" t="s">
        <v>588</v>
      </c>
      <c r="F1192" s="210">
        <f>200000</f>
        <v>200000</v>
      </c>
    </row>
    <row r="1193" spans="1:6" ht="16.5" customHeight="1">
      <c r="A1193" s="666"/>
      <c r="B1193" s="667"/>
      <c r="C1193" s="240" t="s">
        <v>589</v>
      </c>
      <c r="D1193" s="216"/>
      <c r="E1193" s="217" t="s">
        <v>590</v>
      </c>
      <c r="F1193" s="206">
        <f>F1194</f>
        <v>90000</v>
      </c>
    </row>
    <row r="1194" spans="1:6" ht="15">
      <c r="A1194" s="666"/>
      <c r="B1194" s="667"/>
      <c r="C1194" s="1436"/>
      <c r="D1194" s="1336" t="s">
        <v>146</v>
      </c>
      <c r="E1194" s="1337"/>
      <c r="F1194" s="210">
        <f>F1195</f>
        <v>90000</v>
      </c>
    </row>
    <row r="1195" spans="1:6" ht="15">
      <c r="A1195" s="666"/>
      <c r="B1195" s="667"/>
      <c r="C1195" s="1437"/>
      <c r="D1195" s="1439" t="s">
        <v>209</v>
      </c>
      <c r="E1195" s="1440"/>
      <c r="F1195" s="210">
        <f>F1196</f>
        <v>90000</v>
      </c>
    </row>
    <row r="1196" spans="1:6" ht="48.75" customHeight="1">
      <c r="A1196" s="666"/>
      <c r="B1196" s="667"/>
      <c r="C1196" s="1438"/>
      <c r="D1196" s="211" t="s">
        <v>261</v>
      </c>
      <c r="E1196" s="559" t="s">
        <v>588</v>
      </c>
      <c r="F1196" s="210">
        <v>90000</v>
      </c>
    </row>
    <row r="1197" spans="1:6" ht="30.2" customHeight="1">
      <c r="A1197" s="575"/>
      <c r="B1197" s="1265" t="s">
        <v>591</v>
      </c>
      <c r="C1197" s="1441"/>
      <c r="D1197" s="644"/>
      <c r="E1197" s="645" t="s">
        <v>592</v>
      </c>
      <c r="F1197" s="646">
        <f>F1198</f>
        <v>2219308</v>
      </c>
    </row>
    <row r="1198" spans="1:6" ht="17.100000000000001" customHeight="1">
      <c r="A1198" s="575"/>
      <c r="B1198" s="580"/>
      <c r="C1198" s="550"/>
      <c r="D1198" s="1271" t="s">
        <v>146</v>
      </c>
      <c r="E1198" s="1272"/>
      <c r="F1198" s="207">
        <f>F1199+F1224+F1227</f>
        <v>2219308</v>
      </c>
    </row>
    <row r="1199" spans="1:6" ht="17.100000000000001" customHeight="1">
      <c r="A1199" s="575"/>
      <c r="B1199" s="580"/>
      <c r="C1199" s="550"/>
      <c r="D1199" s="1273" t="s">
        <v>147</v>
      </c>
      <c r="E1199" s="1283"/>
      <c r="F1199" s="210">
        <f>F1200+F1207</f>
        <v>2217700</v>
      </c>
    </row>
    <row r="1200" spans="1:6" ht="17.100000000000001" customHeight="1">
      <c r="A1200" s="575"/>
      <c r="B1200" s="580"/>
      <c r="C1200" s="550"/>
      <c r="D1200" s="1275" t="s">
        <v>148</v>
      </c>
      <c r="E1200" s="1284"/>
      <c r="F1200" s="210">
        <f>SUM(F1201:F1205)</f>
        <v>1718169</v>
      </c>
    </row>
    <row r="1201" spans="1:6" ht="17.100000000000001" customHeight="1">
      <c r="A1201" s="575"/>
      <c r="B1201" s="1277"/>
      <c r="C1201" s="1278"/>
      <c r="D1201" s="578" t="s">
        <v>149</v>
      </c>
      <c r="E1201" s="579" t="s">
        <v>150</v>
      </c>
      <c r="F1201" s="210">
        <v>1287241</v>
      </c>
    </row>
    <row r="1202" spans="1:6" ht="17.100000000000001" customHeight="1">
      <c r="A1202" s="575"/>
      <c r="B1202" s="1277"/>
      <c r="C1202" s="1278"/>
      <c r="D1202" s="578" t="s">
        <v>151</v>
      </c>
      <c r="E1202" s="579" t="s">
        <v>152</v>
      </c>
      <c r="F1202" s="210">
        <v>106439</v>
      </c>
    </row>
    <row r="1203" spans="1:6" ht="17.100000000000001" customHeight="1">
      <c r="A1203" s="575"/>
      <c r="B1203" s="1277"/>
      <c r="C1203" s="1278"/>
      <c r="D1203" s="578" t="s">
        <v>153</v>
      </c>
      <c r="E1203" s="579" t="s">
        <v>154</v>
      </c>
      <c r="F1203" s="210">
        <v>241536</v>
      </c>
    </row>
    <row r="1204" spans="1:6" ht="17.100000000000001" customHeight="1">
      <c r="A1204" s="575"/>
      <c r="B1204" s="1277"/>
      <c r="C1204" s="1278"/>
      <c r="D1204" s="583" t="s">
        <v>155</v>
      </c>
      <c r="E1204" s="584" t="s">
        <v>156</v>
      </c>
      <c r="F1204" s="585">
        <v>34953</v>
      </c>
    </row>
    <row r="1205" spans="1:6" ht="17.100000000000001" customHeight="1">
      <c r="A1205" s="575"/>
      <c r="B1205" s="580"/>
      <c r="C1205" s="550"/>
      <c r="D1205" s="578" t="s">
        <v>157</v>
      </c>
      <c r="E1205" s="579" t="s">
        <v>158</v>
      </c>
      <c r="F1205" s="612">
        <v>48000</v>
      </c>
    </row>
    <row r="1206" spans="1:6" ht="17.100000000000001" customHeight="1">
      <c r="A1206" s="575"/>
      <c r="B1206" s="580"/>
      <c r="C1206" s="550"/>
      <c r="D1206" s="1277"/>
      <c r="E1206" s="1281"/>
      <c r="F1206" s="1282"/>
    </row>
    <row r="1207" spans="1:6" ht="17.100000000000001" customHeight="1">
      <c r="A1207" s="575"/>
      <c r="B1207" s="580"/>
      <c r="C1207" s="550"/>
      <c r="D1207" s="1279" t="s">
        <v>159</v>
      </c>
      <c r="E1207" s="1280"/>
      <c r="F1207" s="210">
        <f>SUM(F1208:F1222)</f>
        <v>499531</v>
      </c>
    </row>
    <row r="1208" spans="1:6" ht="17.100000000000001" customHeight="1">
      <c r="A1208" s="575"/>
      <c r="B1208" s="580"/>
      <c r="C1208" s="550"/>
      <c r="D1208" s="578" t="s">
        <v>160</v>
      </c>
      <c r="E1208" s="579" t="s">
        <v>161</v>
      </c>
      <c r="F1208" s="210">
        <v>5944</v>
      </c>
    </row>
    <row r="1209" spans="1:6" ht="17.100000000000001" customHeight="1">
      <c r="A1209" s="575"/>
      <c r="B1209" s="1277"/>
      <c r="C1209" s="1278"/>
      <c r="D1209" s="578" t="s">
        <v>162</v>
      </c>
      <c r="E1209" s="579" t="s">
        <v>163</v>
      </c>
      <c r="F1209" s="210">
        <v>47990</v>
      </c>
    </row>
    <row r="1210" spans="1:6" ht="17.100000000000001" customHeight="1">
      <c r="A1210" s="575"/>
      <c r="B1210" s="1277"/>
      <c r="C1210" s="1278"/>
      <c r="D1210" s="578" t="s">
        <v>164</v>
      </c>
      <c r="E1210" s="579" t="s">
        <v>165</v>
      </c>
      <c r="F1210" s="210">
        <v>19500</v>
      </c>
    </row>
    <row r="1211" spans="1:6" ht="17.100000000000001" customHeight="1">
      <c r="A1211" s="575"/>
      <c r="B1211" s="1277"/>
      <c r="C1211" s="1278"/>
      <c r="D1211" s="578" t="s">
        <v>166</v>
      </c>
      <c r="E1211" s="579" t="s">
        <v>167</v>
      </c>
      <c r="F1211" s="210">
        <v>2800</v>
      </c>
    </row>
    <row r="1212" spans="1:6" ht="17.100000000000001" customHeight="1">
      <c r="A1212" s="575"/>
      <c r="B1212" s="1277"/>
      <c r="C1212" s="1278"/>
      <c r="D1212" s="578" t="s">
        <v>168</v>
      </c>
      <c r="E1212" s="579" t="s">
        <v>169</v>
      </c>
      <c r="F1212" s="210">
        <v>4500</v>
      </c>
    </row>
    <row r="1213" spans="1:6" ht="17.100000000000001" customHeight="1">
      <c r="A1213" s="575"/>
      <c r="B1213" s="1277"/>
      <c r="C1213" s="1278"/>
      <c r="D1213" s="578" t="s">
        <v>170</v>
      </c>
      <c r="E1213" s="579" t="s">
        <v>171</v>
      </c>
      <c r="F1213" s="210">
        <v>312221</v>
      </c>
    </row>
    <row r="1214" spans="1:6" ht="16.5" customHeight="1">
      <c r="A1214" s="575"/>
      <c r="B1214" s="1277"/>
      <c r="C1214" s="1278"/>
      <c r="D1214" s="578" t="s">
        <v>172</v>
      </c>
      <c r="E1214" s="579" t="s">
        <v>358</v>
      </c>
      <c r="F1214" s="210">
        <v>10000</v>
      </c>
    </row>
    <row r="1215" spans="1:6" ht="17.100000000000001" customHeight="1">
      <c r="A1215" s="575"/>
      <c r="B1215" s="1277"/>
      <c r="C1215" s="1278"/>
      <c r="D1215" s="578" t="s">
        <v>388</v>
      </c>
      <c r="E1215" s="579" t="s">
        <v>371</v>
      </c>
      <c r="F1215" s="210">
        <v>15000</v>
      </c>
    </row>
    <row r="1216" spans="1:6" ht="20.100000000000001" customHeight="1">
      <c r="A1216" s="575"/>
      <c r="B1216" s="1277"/>
      <c r="C1216" s="1278"/>
      <c r="D1216" s="578" t="s">
        <v>174</v>
      </c>
      <c r="E1216" s="579" t="s">
        <v>175</v>
      </c>
      <c r="F1216" s="210">
        <v>32800</v>
      </c>
    </row>
    <row r="1217" spans="1:6" ht="17.100000000000001" customHeight="1">
      <c r="A1217" s="575"/>
      <c r="B1217" s="1277"/>
      <c r="C1217" s="1278"/>
      <c r="D1217" s="578" t="s">
        <v>176</v>
      </c>
      <c r="E1217" s="579" t="s">
        <v>177</v>
      </c>
      <c r="F1217" s="210">
        <v>1000</v>
      </c>
    </row>
    <row r="1218" spans="1:6" ht="17.100000000000001" customHeight="1">
      <c r="A1218" s="575"/>
      <c r="B1218" s="1277"/>
      <c r="C1218" s="1278"/>
      <c r="D1218" s="578" t="s">
        <v>180</v>
      </c>
      <c r="E1218" s="579" t="s">
        <v>181</v>
      </c>
      <c r="F1218" s="210">
        <v>40476</v>
      </c>
    </row>
    <row r="1219" spans="1:6" ht="17.100000000000001" customHeight="1">
      <c r="A1219" s="575"/>
      <c r="B1219" s="580"/>
      <c r="C1219" s="550"/>
      <c r="D1219" s="578" t="s">
        <v>182</v>
      </c>
      <c r="E1219" s="579" t="s">
        <v>183</v>
      </c>
      <c r="F1219" s="210">
        <v>3600</v>
      </c>
    </row>
    <row r="1220" spans="1:6" ht="17.100000000000001" customHeight="1">
      <c r="A1220" s="575"/>
      <c r="B1220" s="580"/>
      <c r="C1220" s="550"/>
      <c r="D1220" s="578" t="s">
        <v>186</v>
      </c>
      <c r="E1220" s="579" t="s">
        <v>187</v>
      </c>
      <c r="F1220" s="210">
        <v>2000</v>
      </c>
    </row>
    <row r="1221" spans="1:6" ht="17.100000000000001" customHeight="1">
      <c r="A1221" s="575"/>
      <c r="B1221" s="1277"/>
      <c r="C1221" s="1278"/>
      <c r="D1221" s="578" t="s">
        <v>195</v>
      </c>
      <c r="E1221" s="579" t="s">
        <v>196</v>
      </c>
      <c r="F1221" s="210">
        <v>200</v>
      </c>
    </row>
    <row r="1222" spans="1:6" ht="17.100000000000001" customHeight="1">
      <c r="A1222" s="575"/>
      <c r="B1222" s="1277"/>
      <c r="C1222" s="1278"/>
      <c r="D1222" s="578" t="s">
        <v>188</v>
      </c>
      <c r="E1222" s="579" t="s">
        <v>189</v>
      </c>
      <c r="F1222" s="210">
        <v>1500</v>
      </c>
    </row>
    <row r="1223" spans="1:6" ht="17.100000000000001" customHeight="1">
      <c r="A1223" s="575"/>
      <c r="B1223" s="580"/>
      <c r="C1223" s="550"/>
      <c r="D1223" s="1277"/>
      <c r="E1223" s="1281"/>
      <c r="F1223" s="1282"/>
    </row>
    <row r="1224" spans="1:6" ht="17.100000000000001" customHeight="1">
      <c r="A1224" s="575"/>
      <c r="B1224" s="580"/>
      <c r="C1224" s="550"/>
      <c r="D1224" s="1285" t="s">
        <v>209</v>
      </c>
      <c r="E1224" s="1286"/>
      <c r="F1224" s="210">
        <f>F1225</f>
        <v>308</v>
      </c>
    </row>
    <row r="1225" spans="1:6" ht="40.5" customHeight="1">
      <c r="A1225" s="575"/>
      <c r="B1225" s="580"/>
      <c r="C1225" s="550"/>
      <c r="D1225" s="578" t="s">
        <v>593</v>
      </c>
      <c r="E1225" s="579" t="s">
        <v>594</v>
      </c>
      <c r="F1225" s="210">
        <f>308</f>
        <v>308</v>
      </c>
    </row>
    <row r="1226" spans="1:6" ht="17.100000000000001" customHeight="1">
      <c r="A1226" s="575"/>
      <c r="B1226" s="580"/>
      <c r="C1226" s="550"/>
      <c r="D1226" s="1277"/>
      <c r="E1226" s="1281"/>
      <c r="F1226" s="1282"/>
    </row>
    <row r="1227" spans="1:6" ht="17.100000000000001" customHeight="1">
      <c r="A1227" s="575"/>
      <c r="B1227" s="580"/>
      <c r="C1227" s="550"/>
      <c r="D1227" s="1285" t="s">
        <v>464</v>
      </c>
      <c r="E1227" s="1286"/>
      <c r="F1227" s="210">
        <f>F1228</f>
        <v>1300</v>
      </c>
    </row>
    <row r="1228" spans="1:6" ht="17.100000000000001" customHeight="1">
      <c r="A1228" s="575"/>
      <c r="B1228" s="580"/>
      <c r="C1228" s="550"/>
      <c r="D1228" s="578" t="s">
        <v>191</v>
      </c>
      <c r="E1228" s="579" t="s">
        <v>192</v>
      </c>
      <c r="F1228" s="210">
        <v>1300</v>
      </c>
    </row>
    <row r="1229" spans="1:6" ht="17.100000000000001" customHeight="1">
      <c r="A1229" s="575"/>
      <c r="B1229" s="1265" t="s">
        <v>595</v>
      </c>
      <c r="C1229" s="1266"/>
      <c r="D1229" s="576"/>
      <c r="E1229" s="577" t="s">
        <v>596</v>
      </c>
      <c r="F1229" s="206">
        <f>F1230+F1264</f>
        <v>2590966</v>
      </c>
    </row>
    <row r="1230" spans="1:6" ht="17.100000000000001" customHeight="1">
      <c r="A1230" s="575"/>
      <c r="B1230" s="580"/>
      <c r="C1230" s="550"/>
      <c r="D1230" s="1271" t="s">
        <v>146</v>
      </c>
      <c r="E1230" s="1272"/>
      <c r="F1230" s="207">
        <f>F1231+F1257+F1260</f>
        <v>2572966</v>
      </c>
    </row>
    <row r="1231" spans="1:6" ht="17.100000000000001" customHeight="1">
      <c r="A1231" s="575"/>
      <c r="B1231" s="580"/>
      <c r="C1231" s="550"/>
      <c r="D1231" s="1273" t="s">
        <v>147</v>
      </c>
      <c r="E1231" s="1283"/>
      <c r="F1231" s="210">
        <f>F1232+F1239</f>
        <v>2019666</v>
      </c>
    </row>
    <row r="1232" spans="1:6" ht="17.100000000000001" customHeight="1">
      <c r="A1232" s="575"/>
      <c r="B1232" s="580"/>
      <c r="C1232" s="550"/>
      <c r="D1232" s="1275" t="s">
        <v>148</v>
      </c>
      <c r="E1232" s="1284"/>
      <c r="F1232" s="210">
        <f>SUM(F1233:F1237)</f>
        <v>1448474</v>
      </c>
    </row>
    <row r="1233" spans="1:6" ht="17.100000000000001" customHeight="1">
      <c r="A1233" s="575"/>
      <c r="B1233" s="1277"/>
      <c r="C1233" s="1278"/>
      <c r="D1233" s="578" t="s">
        <v>149</v>
      </c>
      <c r="E1233" s="579" t="s">
        <v>150</v>
      </c>
      <c r="F1233" s="210">
        <v>1077219</v>
      </c>
    </row>
    <row r="1234" spans="1:6" ht="17.100000000000001" customHeight="1">
      <c r="A1234" s="575"/>
      <c r="B1234" s="1277"/>
      <c r="C1234" s="1278"/>
      <c r="D1234" s="578" t="s">
        <v>151</v>
      </c>
      <c r="E1234" s="579" t="s">
        <v>152</v>
      </c>
      <c r="F1234" s="210">
        <v>112616</v>
      </c>
    </row>
    <row r="1235" spans="1:6" ht="17.100000000000001" customHeight="1">
      <c r="A1235" s="575"/>
      <c r="B1235" s="1277"/>
      <c r="C1235" s="1278"/>
      <c r="D1235" s="578" t="s">
        <v>153</v>
      </c>
      <c r="E1235" s="579" t="s">
        <v>154</v>
      </c>
      <c r="F1235" s="210">
        <v>197349</v>
      </c>
    </row>
    <row r="1236" spans="1:6" ht="17.100000000000001" customHeight="1">
      <c r="A1236" s="575"/>
      <c r="B1236" s="1277"/>
      <c r="C1236" s="1278"/>
      <c r="D1236" s="578" t="s">
        <v>155</v>
      </c>
      <c r="E1236" s="579" t="s">
        <v>156</v>
      </c>
      <c r="F1236" s="210">
        <v>28130</v>
      </c>
    </row>
    <row r="1237" spans="1:6" ht="17.100000000000001" customHeight="1">
      <c r="A1237" s="575"/>
      <c r="B1237" s="580"/>
      <c r="C1237" s="550"/>
      <c r="D1237" s="531" t="s">
        <v>157</v>
      </c>
      <c r="E1237" s="532" t="s">
        <v>158</v>
      </c>
      <c r="F1237" s="615">
        <v>33160</v>
      </c>
    </row>
    <row r="1238" spans="1:6" ht="17.100000000000001" customHeight="1">
      <c r="A1238" s="575"/>
      <c r="B1238" s="580"/>
      <c r="C1238" s="550"/>
      <c r="D1238" s="1277"/>
      <c r="E1238" s="1281"/>
      <c r="F1238" s="1282"/>
    </row>
    <row r="1239" spans="1:6" ht="17.100000000000001" customHeight="1">
      <c r="A1239" s="575"/>
      <c r="B1239" s="580"/>
      <c r="C1239" s="550"/>
      <c r="D1239" s="1279" t="s">
        <v>159</v>
      </c>
      <c r="E1239" s="1280"/>
      <c r="F1239" s="210">
        <f>SUM(F1240:F1255)</f>
        <v>571192</v>
      </c>
    </row>
    <row r="1240" spans="1:6" ht="17.100000000000001" customHeight="1">
      <c r="A1240" s="575"/>
      <c r="B1240" s="580"/>
      <c r="C1240" s="550"/>
      <c r="D1240" s="578" t="s">
        <v>160</v>
      </c>
      <c r="E1240" s="579" t="s">
        <v>161</v>
      </c>
      <c r="F1240" s="210">
        <v>7503</v>
      </c>
    </row>
    <row r="1241" spans="1:6" ht="17.100000000000001" customHeight="1">
      <c r="A1241" s="575"/>
      <c r="B1241" s="1277"/>
      <c r="C1241" s="1278"/>
      <c r="D1241" s="578" t="s">
        <v>162</v>
      </c>
      <c r="E1241" s="579" t="s">
        <v>163</v>
      </c>
      <c r="F1241" s="210">
        <v>39150</v>
      </c>
    </row>
    <row r="1242" spans="1:6" ht="17.100000000000001" customHeight="1">
      <c r="A1242" s="575"/>
      <c r="B1242" s="1277"/>
      <c r="C1242" s="1278"/>
      <c r="D1242" s="578" t="s">
        <v>164</v>
      </c>
      <c r="E1242" s="579" t="s">
        <v>165</v>
      </c>
      <c r="F1242" s="210">
        <v>39400</v>
      </c>
    </row>
    <row r="1243" spans="1:6" ht="17.100000000000001" customHeight="1">
      <c r="A1243" s="575"/>
      <c r="B1243" s="1277"/>
      <c r="C1243" s="1278"/>
      <c r="D1243" s="578" t="s">
        <v>166</v>
      </c>
      <c r="E1243" s="579" t="s">
        <v>167</v>
      </c>
      <c r="F1243" s="210">
        <v>16400</v>
      </c>
    </row>
    <row r="1244" spans="1:6" ht="17.100000000000001" customHeight="1">
      <c r="A1244" s="575"/>
      <c r="B1244" s="1277"/>
      <c r="C1244" s="1278"/>
      <c r="D1244" s="578" t="s">
        <v>168</v>
      </c>
      <c r="E1244" s="579" t="s">
        <v>169</v>
      </c>
      <c r="F1244" s="210">
        <v>3600</v>
      </c>
    </row>
    <row r="1245" spans="1:6" ht="17.100000000000001" customHeight="1">
      <c r="A1245" s="575"/>
      <c r="B1245" s="1277"/>
      <c r="C1245" s="1278"/>
      <c r="D1245" s="578" t="s">
        <v>170</v>
      </c>
      <c r="E1245" s="579" t="s">
        <v>171</v>
      </c>
      <c r="F1245" s="210">
        <v>224358</v>
      </c>
    </row>
    <row r="1246" spans="1:6" ht="16.5" customHeight="1">
      <c r="A1246" s="575"/>
      <c r="B1246" s="1277"/>
      <c r="C1246" s="1278"/>
      <c r="D1246" s="578" t="s">
        <v>172</v>
      </c>
      <c r="E1246" s="579" t="s">
        <v>173</v>
      </c>
      <c r="F1246" s="210">
        <v>25000</v>
      </c>
    </row>
    <row r="1247" spans="1:6" ht="16.5" customHeight="1">
      <c r="A1247" s="575"/>
      <c r="B1247" s="580"/>
      <c r="C1247" s="550"/>
      <c r="D1247" s="578" t="s">
        <v>257</v>
      </c>
      <c r="E1247" s="579" t="s">
        <v>258</v>
      </c>
      <c r="F1247" s="210">
        <v>65000</v>
      </c>
    </row>
    <row r="1248" spans="1:6" ht="20.100000000000001" customHeight="1">
      <c r="A1248" s="575"/>
      <c r="B1248" s="1277"/>
      <c r="C1248" s="1278"/>
      <c r="D1248" s="578" t="s">
        <v>174</v>
      </c>
      <c r="E1248" s="579" t="s">
        <v>175</v>
      </c>
      <c r="F1248" s="210">
        <v>77540</v>
      </c>
    </row>
    <row r="1249" spans="1:6" ht="17.100000000000001" customHeight="1">
      <c r="A1249" s="575"/>
      <c r="B1249" s="1277"/>
      <c r="C1249" s="1278"/>
      <c r="D1249" s="578" t="s">
        <v>176</v>
      </c>
      <c r="E1249" s="579" t="s">
        <v>177</v>
      </c>
      <c r="F1249" s="210">
        <v>7580</v>
      </c>
    </row>
    <row r="1250" spans="1:6" ht="17.100000000000001" customHeight="1">
      <c r="A1250" s="575"/>
      <c r="B1250" s="1277"/>
      <c r="C1250" s="1278"/>
      <c r="D1250" s="578" t="s">
        <v>314</v>
      </c>
      <c r="E1250" s="579" t="s">
        <v>315</v>
      </c>
      <c r="F1250" s="210">
        <v>3000</v>
      </c>
    </row>
    <row r="1251" spans="1:6" ht="17.100000000000001" customHeight="1">
      <c r="A1251" s="575"/>
      <c r="B1251" s="1277"/>
      <c r="C1251" s="1278"/>
      <c r="D1251" s="578" t="s">
        <v>178</v>
      </c>
      <c r="E1251" s="579" t="s">
        <v>179</v>
      </c>
      <c r="F1251" s="210">
        <v>2000</v>
      </c>
    </row>
    <row r="1252" spans="1:6" ht="17.100000000000001" customHeight="1">
      <c r="A1252" s="575"/>
      <c r="B1252" s="1277"/>
      <c r="C1252" s="1278"/>
      <c r="D1252" s="578" t="s">
        <v>180</v>
      </c>
      <c r="E1252" s="579" t="s">
        <v>181</v>
      </c>
      <c r="F1252" s="210">
        <v>46944</v>
      </c>
    </row>
    <row r="1253" spans="1:6" ht="17.100000000000001" customHeight="1">
      <c r="A1253" s="575"/>
      <c r="B1253" s="580"/>
      <c r="C1253" s="550"/>
      <c r="D1253" s="578" t="s">
        <v>182</v>
      </c>
      <c r="E1253" s="579" t="s">
        <v>183</v>
      </c>
      <c r="F1253" s="210">
        <v>3337</v>
      </c>
    </row>
    <row r="1254" spans="1:6" ht="17.100000000000001" customHeight="1">
      <c r="A1254" s="575"/>
      <c r="B1254" s="580"/>
      <c r="C1254" s="550"/>
      <c r="D1254" s="578" t="s">
        <v>186</v>
      </c>
      <c r="E1254" s="579" t="s">
        <v>187</v>
      </c>
      <c r="F1254" s="210">
        <v>3380</v>
      </c>
    </row>
    <row r="1255" spans="1:6" ht="17.100000000000001" customHeight="1">
      <c r="A1255" s="575"/>
      <c r="B1255" s="1277"/>
      <c r="C1255" s="1278"/>
      <c r="D1255" s="578" t="s">
        <v>188</v>
      </c>
      <c r="E1255" s="579" t="s">
        <v>189</v>
      </c>
      <c r="F1255" s="210">
        <v>7000</v>
      </c>
    </row>
    <row r="1256" spans="1:6" ht="17.100000000000001" customHeight="1">
      <c r="A1256" s="575"/>
      <c r="B1256" s="580"/>
      <c r="C1256" s="550"/>
      <c r="D1256" s="1277"/>
      <c r="E1256" s="1281"/>
      <c r="F1256" s="1282"/>
    </row>
    <row r="1257" spans="1:6" ht="17.100000000000001" customHeight="1">
      <c r="A1257" s="575"/>
      <c r="B1257" s="580"/>
      <c r="C1257" s="550"/>
      <c r="D1257" s="1285" t="s">
        <v>209</v>
      </c>
      <c r="E1257" s="1286"/>
      <c r="F1257" s="210">
        <f>F1258</f>
        <v>550000</v>
      </c>
    </row>
    <row r="1258" spans="1:6" ht="38.25" customHeight="1">
      <c r="A1258" s="575"/>
      <c r="B1258" s="580"/>
      <c r="C1258" s="550"/>
      <c r="D1258" s="578" t="s">
        <v>261</v>
      </c>
      <c r="E1258" s="579" t="s">
        <v>262</v>
      </c>
      <c r="F1258" s="210">
        <v>550000</v>
      </c>
    </row>
    <row r="1259" spans="1:6" ht="17.100000000000001" customHeight="1">
      <c r="A1259" s="575"/>
      <c r="B1259" s="580"/>
      <c r="C1259" s="550"/>
      <c r="D1259" s="1277"/>
      <c r="E1259" s="1281"/>
      <c r="F1259" s="1282"/>
    </row>
    <row r="1260" spans="1:6" ht="17.100000000000001" customHeight="1">
      <c r="A1260" s="575"/>
      <c r="B1260" s="580"/>
      <c r="C1260" s="550"/>
      <c r="D1260" s="1285" t="s">
        <v>190</v>
      </c>
      <c r="E1260" s="1286"/>
      <c r="F1260" s="210">
        <f>SUM(F1261:F1262)</f>
        <v>3300</v>
      </c>
    </row>
    <row r="1261" spans="1:6" ht="17.100000000000001" customHeight="1">
      <c r="A1261" s="575"/>
      <c r="B1261" s="580"/>
      <c r="C1261" s="550"/>
      <c r="D1261" s="583" t="s">
        <v>191</v>
      </c>
      <c r="E1261" s="584" t="s">
        <v>192</v>
      </c>
      <c r="F1261" s="585">
        <v>3100</v>
      </c>
    </row>
    <row r="1262" spans="1:6" ht="17.100000000000001" customHeight="1">
      <c r="A1262" s="575"/>
      <c r="B1262" s="580"/>
      <c r="C1262" s="551"/>
      <c r="D1262" s="211" t="s">
        <v>379</v>
      </c>
      <c r="E1262" s="241" t="s">
        <v>465</v>
      </c>
      <c r="F1262" s="210">
        <f>200</f>
        <v>200</v>
      </c>
    </row>
    <row r="1263" spans="1:6" ht="17.100000000000001" customHeight="1">
      <c r="A1263" s="575"/>
      <c r="B1263" s="580"/>
      <c r="C1263" s="550"/>
      <c r="D1263" s="1277"/>
      <c r="E1263" s="1281"/>
      <c r="F1263" s="1282"/>
    </row>
    <row r="1264" spans="1:6" ht="17.100000000000001" customHeight="1">
      <c r="A1264" s="575"/>
      <c r="B1264" s="580"/>
      <c r="C1264" s="550"/>
      <c r="D1264" s="1312" t="s">
        <v>202</v>
      </c>
      <c r="E1264" s="1313"/>
      <c r="F1264" s="207">
        <f>F1265</f>
        <v>18000</v>
      </c>
    </row>
    <row r="1265" spans="1:6" ht="17.100000000000001" customHeight="1">
      <c r="A1265" s="575"/>
      <c r="B1265" s="580"/>
      <c r="C1265" s="550"/>
      <c r="D1265" s="1285" t="s">
        <v>272</v>
      </c>
      <c r="E1265" s="1286"/>
      <c r="F1265" s="210">
        <f>F1266</f>
        <v>18000</v>
      </c>
    </row>
    <row r="1266" spans="1:6" ht="17.100000000000001" customHeight="1">
      <c r="A1266" s="575"/>
      <c r="B1266" s="1303"/>
      <c r="C1266" s="1320"/>
      <c r="D1266" s="578" t="s">
        <v>245</v>
      </c>
      <c r="E1266" s="579" t="s">
        <v>246</v>
      </c>
      <c r="F1266" s="210">
        <f>18000</f>
        <v>18000</v>
      </c>
    </row>
    <row r="1267" spans="1:6" ht="17.100000000000001" hidden="1" customHeight="1">
      <c r="A1267" s="575"/>
      <c r="B1267" s="1265" t="s">
        <v>597</v>
      </c>
      <c r="C1267" s="1266"/>
      <c r="D1267" s="576"/>
      <c r="E1267" s="577" t="s">
        <v>598</v>
      </c>
      <c r="F1267" s="206">
        <f>F1268</f>
        <v>0</v>
      </c>
    </row>
    <row r="1268" spans="1:6" ht="17.100000000000001" hidden="1" customHeight="1">
      <c r="A1268" s="575"/>
      <c r="B1268" s="1267"/>
      <c r="C1268" s="1268"/>
      <c r="D1268" s="1271" t="s">
        <v>146</v>
      </c>
      <c r="E1268" s="1272"/>
      <c r="F1268" s="207">
        <f>F1269</f>
        <v>0</v>
      </c>
    </row>
    <row r="1269" spans="1:6" ht="17.100000000000001" hidden="1" customHeight="1">
      <c r="A1269" s="575"/>
      <c r="B1269" s="1269"/>
      <c r="C1269" s="1270"/>
      <c r="D1269" s="1273" t="s">
        <v>209</v>
      </c>
      <c r="E1269" s="1283"/>
      <c r="F1269" s="210">
        <f>F1270</f>
        <v>0</v>
      </c>
    </row>
    <row r="1270" spans="1:6" ht="36.75" hidden="1" customHeight="1">
      <c r="A1270" s="575"/>
      <c r="B1270" s="1297"/>
      <c r="C1270" s="1298"/>
      <c r="D1270" s="578" t="s">
        <v>279</v>
      </c>
      <c r="E1270" s="579" t="s">
        <v>280</v>
      </c>
      <c r="F1270" s="210">
        <v>0</v>
      </c>
    </row>
    <row r="1271" spans="1:6" ht="17.100000000000001" hidden="1" customHeight="1">
      <c r="A1271" s="575"/>
      <c r="B1271" s="1265" t="s">
        <v>599</v>
      </c>
      <c r="C1271" s="1266"/>
      <c r="D1271" s="576"/>
      <c r="E1271" s="577" t="s">
        <v>600</v>
      </c>
      <c r="F1271" s="206">
        <f>F1272</f>
        <v>0</v>
      </c>
    </row>
    <row r="1272" spans="1:6" ht="17.100000000000001" hidden="1" customHeight="1">
      <c r="A1272" s="575"/>
      <c r="B1272" s="1267"/>
      <c r="C1272" s="1268"/>
      <c r="D1272" s="1271" t="s">
        <v>146</v>
      </c>
      <c r="E1272" s="1272"/>
      <c r="F1272" s="207">
        <f>F1273</f>
        <v>0</v>
      </c>
    </row>
    <row r="1273" spans="1:6" ht="17.100000000000001" hidden="1" customHeight="1">
      <c r="A1273" s="575"/>
      <c r="B1273" s="1269"/>
      <c r="C1273" s="1270"/>
      <c r="D1273" s="1273" t="s">
        <v>209</v>
      </c>
      <c r="E1273" s="1283"/>
      <c r="F1273" s="210">
        <f>F1274</f>
        <v>0</v>
      </c>
    </row>
    <row r="1274" spans="1:6" ht="41.25" hidden="1" customHeight="1">
      <c r="A1274" s="575"/>
      <c r="B1274" s="1297"/>
      <c r="C1274" s="1298"/>
      <c r="D1274" s="578" t="s">
        <v>279</v>
      </c>
      <c r="E1274" s="579" t="s">
        <v>280</v>
      </c>
      <c r="F1274" s="210">
        <v>0</v>
      </c>
    </row>
    <row r="1275" spans="1:6" ht="17.100000000000001" customHeight="1">
      <c r="A1275" s="575"/>
      <c r="B1275" s="1265" t="s">
        <v>601</v>
      </c>
      <c r="C1275" s="1266"/>
      <c r="D1275" s="576"/>
      <c r="E1275" s="577" t="s">
        <v>602</v>
      </c>
      <c r="F1275" s="206">
        <f>F1276</f>
        <v>750000</v>
      </c>
    </row>
    <row r="1276" spans="1:6" ht="17.100000000000001" customHeight="1">
      <c r="A1276" s="575"/>
      <c r="B1276" s="580"/>
      <c r="C1276" s="565"/>
      <c r="D1276" s="1271" t="s">
        <v>146</v>
      </c>
      <c r="E1276" s="1272"/>
      <c r="F1276" s="207">
        <f>F1277+F1302</f>
        <v>750000</v>
      </c>
    </row>
    <row r="1277" spans="1:6" ht="17.100000000000001" customHeight="1">
      <c r="A1277" s="575"/>
      <c r="B1277" s="580"/>
      <c r="C1277" s="565"/>
      <c r="D1277" s="1273" t="s">
        <v>147</v>
      </c>
      <c r="E1277" s="1283"/>
      <c r="F1277" s="210">
        <f>SUM(F1278+F1285)</f>
        <v>748000</v>
      </c>
    </row>
    <row r="1278" spans="1:6" ht="17.100000000000001" customHeight="1">
      <c r="A1278" s="575"/>
      <c r="B1278" s="580"/>
      <c r="C1278" s="565"/>
      <c r="D1278" s="1275" t="s">
        <v>148</v>
      </c>
      <c r="E1278" s="1284"/>
      <c r="F1278" s="210">
        <f>SUM(F1279:F1283)</f>
        <v>627784</v>
      </c>
    </row>
    <row r="1279" spans="1:6" ht="17.100000000000001" customHeight="1">
      <c r="A1279" s="575"/>
      <c r="B1279" s="1277"/>
      <c r="C1279" s="1442"/>
      <c r="D1279" s="578" t="s">
        <v>149</v>
      </c>
      <c r="E1279" s="579" t="s">
        <v>150</v>
      </c>
      <c r="F1279" s="210">
        <v>478769</v>
      </c>
    </row>
    <row r="1280" spans="1:6" ht="17.100000000000001" customHeight="1">
      <c r="A1280" s="575"/>
      <c r="B1280" s="580"/>
      <c r="C1280" s="550"/>
      <c r="D1280" s="578" t="s">
        <v>151</v>
      </c>
      <c r="E1280" s="579" t="s">
        <v>152</v>
      </c>
      <c r="F1280" s="210">
        <v>46170</v>
      </c>
    </row>
    <row r="1281" spans="1:6" ht="17.100000000000001" customHeight="1">
      <c r="A1281" s="575"/>
      <c r="B1281" s="1277"/>
      <c r="C1281" s="1442"/>
      <c r="D1281" s="578" t="s">
        <v>153</v>
      </c>
      <c r="E1281" s="579" t="s">
        <v>154</v>
      </c>
      <c r="F1281" s="210">
        <v>88872</v>
      </c>
    </row>
    <row r="1282" spans="1:6" ht="17.100000000000001" customHeight="1">
      <c r="A1282" s="575"/>
      <c r="B1282" s="1277"/>
      <c r="C1282" s="1442"/>
      <c r="D1282" s="671" t="s">
        <v>155</v>
      </c>
      <c r="E1282" s="672" t="s">
        <v>156</v>
      </c>
      <c r="F1282" s="210">
        <v>13973</v>
      </c>
    </row>
    <row r="1283" spans="1:6" ht="17.100000000000001" hidden="1" customHeight="1">
      <c r="A1283" s="575"/>
      <c r="B1283" s="580"/>
      <c r="C1283" s="565"/>
      <c r="D1283" s="531" t="s">
        <v>157</v>
      </c>
      <c r="E1283" s="532" t="s">
        <v>158</v>
      </c>
      <c r="F1283" s="615">
        <v>0</v>
      </c>
    </row>
    <row r="1284" spans="1:6" ht="17.100000000000001" customHeight="1">
      <c r="A1284" s="575"/>
      <c r="B1284" s="580"/>
      <c r="C1284" s="565"/>
      <c r="D1284" s="1277"/>
      <c r="E1284" s="1281"/>
      <c r="F1284" s="1282"/>
    </row>
    <row r="1285" spans="1:6" ht="17.100000000000001" customHeight="1">
      <c r="A1285" s="575"/>
      <c r="B1285" s="580"/>
      <c r="C1285" s="565"/>
      <c r="D1285" s="1279" t="s">
        <v>159</v>
      </c>
      <c r="E1285" s="1280"/>
      <c r="F1285" s="210">
        <f>SUM(F1286:F1300)</f>
        <v>120216</v>
      </c>
    </row>
    <row r="1286" spans="1:6" ht="17.100000000000001" customHeight="1">
      <c r="A1286" s="575"/>
      <c r="B1286" s="580"/>
      <c r="C1286" s="565"/>
      <c r="D1286" s="578" t="s">
        <v>160</v>
      </c>
      <c r="E1286" s="579" t="s">
        <v>161</v>
      </c>
      <c r="F1286" s="210">
        <v>1566</v>
      </c>
    </row>
    <row r="1287" spans="1:6" ht="17.100000000000001" customHeight="1">
      <c r="A1287" s="575"/>
      <c r="B1287" s="1277"/>
      <c r="C1287" s="1442"/>
      <c r="D1287" s="578" t="s">
        <v>162</v>
      </c>
      <c r="E1287" s="579" t="s">
        <v>163</v>
      </c>
      <c r="F1287" s="210">
        <v>10469</v>
      </c>
    </row>
    <row r="1288" spans="1:6" ht="17.100000000000001" customHeight="1">
      <c r="A1288" s="575"/>
      <c r="B1288" s="1277"/>
      <c r="C1288" s="1442"/>
      <c r="D1288" s="578" t="s">
        <v>164</v>
      </c>
      <c r="E1288" s="579" t="s">
        <v>165</v>
      </c>
      <c r="F1288" s="210">
        <v>7200</v>
      </c>
    </row>
    <row r="1289" spans="1:6" ht="17.100000000000001" customHeight="1">
      <c r="A1289" s="575"/>
      <c r="B1289" s="580"/>
      <c r="C1289" s="565"/>
      <c r="D1289" s="578" t="s">
        <v>166</v>
      </c>
      <c r="E1289" s="579" t="s">
        <v>167</v>
      </c>
      <c r="F1289" s="210">
        <v>2250</v>
      </c>
    </row>
    <row r="1290" spans="1:6" ht="17.100000000000001" customHeight="1">
      <c r="A1290" s="575"/>
      <c r="B1290" s="1277"/>
      <c r="C1290" s="1442"/>
      <c r="D1290" s="578" t="s">
        <v>168</v>
      </c>
      <c r="E1290" s="579" t="s">
        <v>169</v>
      </c>
      <c r="F1290" s="210">
        <f>1500</f>
        <v>1500</v>
      </c>
    </row>
    <row r="1291" spans="1:6" ht="17.100000000000001" customHeight="1">
      <c r="A1291" s="575"/>
      <c r="B1291" s="1277"/>
      <c r="C1291" s="1442"/>
      <c r="D1291" s="578" t="s">
        <v>170</v>
      </c>
      <c r="E1291" s="579" t="s">
        <v>171</v>
      </c>
      <c r="F1291" s="210">
        <v>24232</v>
      </c>
    </row>
    <row r="1292" spans="1:6" ht="16.5" customHeight="1">
      <c r="A1292" s="575"/>
      <c r="B1292" s="1277"/>
      <c r="C1292" s="1442"/>
      <c r="D1292" s="578" t="s">
        <v>172</v>
      </c>
      <c r="E1292" s="579" t="s">
        <v>358</v>
      </c>
      <c r="F1292" s="210">
        <v>9150</v>
      </c>
    </row>
    <row r="1293" spans="1:6" ht="17.100000000000001" customHeight="1">
      <c r="A1293" s="575"/>
      <c r="B1293" s="1277"/>
      <c r="C1293" s="1442"/>
      <c r="D1293" s="578" t="s">
        <v>388</v>
      </c>
      <c r="E1293" s="579" t="s">
        <v>371</v>
      </c>
      <c r="F1293" s="210">
        <v>220</v>
      </c>
    </row>
    <row r="1294" spans="1:6" ht="16.5" customHeight="1">
      <c r="A1294" s="575"/>
      <c r="B1294" s="1277"/>
      <c r="C1294" s="1442"/>
      <c r="D1294" s="578" t="s">
        <v>174</v>
      </c>
      <c r="E1294" s="579" t="s">
        <v>175</v>
      </c>
      <c r="F1294" s="210">
        <v>37500</v>
      </c>
    </row>
    <row r="1295" spans="1:6" ht="17.100000000000001" customHeight="1">
      <c r="A1295" s="575"/>
      <c r="B1295" s="1277"/>
      <c r="C1295" s="1442"/>
      <c r="D1295" s="578" t="s">
        <v>176</v>
      </c>
      <c r="E1295" s="579" t="s">
        <v>177</v>
      </c>
      <c r="F1295" s="210">
        <v>3706</v>
      </c>
    </row>
    <row r="1296" spans="1:6" ht="17.100000000000001" hidden="1" customHeight="1">
      <c r="A1296" s="575"/>
      <c r="B1296" s="1277"/>
      <c r="C1296" s="1278"/>
      <c r="D1296" s="578" t="s">
        <v>178</v>
      </c>
      <c r="E1296" s="579" t="s">
        <v>179</v>
      </c>
      <c r="F1296" s="210">
        <v>0</v>
      </c>
    </row>
    <row r="1297" spans="1:6" ht="17.100000000000001" customHeight="1">
      <c r="A1297" s="575"/>
      <c r="B1297" s="1277"/>
      <c r="C1297" s="1278"/>
      <c r="D1297" s="578" t="s">
        <v>180</v>
      </c>
      <c r="E1297" s="579" t="s">
        <v>181</v>
      </c>
      <c r="F1297" s="210">
        <v>18473</v>
      </c>
    </row>
    <row r="1298" spans="1:6" ht="17.100000000000001" customHeight="1">
      <c r="A1298" s="575"/>
      <c r="B1298" s="1277"/>
      <c r="C1298" s="1278"/>
      <c r="D1298" s="578" t="s">
        <v>182</v>
      </c>
      <c r="E1298" s="579" t="s">
        <v>183</v>
      </c>
      <c r="F1298" s="210">
        <v>700</v>
      </c>
    </row>
    <row r="1299" spans="1:6" ht="17.100000000000001" customHeight="1">
      <c r="A1299" s="575"/>
      <c r="B1299" s="1277"/>
      <c r="C1299" s="1278"/>
      <c r="D1299" s="578" t="s">
        <v>186</v>
      </c>
      <c r="E1299" s="579" t="s">
        <v>187</v>
      </c>
      <c r="F1299" s="210">
        <v>250</v>
      </c>
    </row>
    <row r="1300" spans="1:6" ht="17.100000000000001" customHeight="1">
      <c r="A1300" s="575"/>
      <c r="B1300" s="1277"/>
      <c r="C1300" s="1278"/>
      <c r="D1300" s="578" t="s">
        <v>188</v>
      </c>
      <c r="E1300" s="579" t="s">
        <v>189</v>
      </c>
      <c r="F1300" s="210">
        <v>3000</v>
      </c>
    </row>
    <row r="1301" spans="1:6" ht="17.100000000000001" customHeight="1">
      <c r="A1301" s="575"/>
      <c r="B1301" s="1277"/>
      <c r="C1301" s="1278"/>
      <c r="D1301" s="1277"/>
      <c r="E1301" s="1281"/>
      <c r="F1301" s="1282"/>
    </row>
    <row r="1302" spans="1:6" ht="17.100000000000001" customHeight="1">
      <c r="A1302" s="575"/>
      <c r="B1302" s="1277"/>
      <c r="C1302" s="1278"/>
      <c r="D1302" s="1285" t="s">
        <v>190</v>
      </c>
      <c r="E1302" s="1286"/>
      <c r="F1302" s="210">
        <f>F1303</f>
        <v>2000</v>
      </c>
    </row>
    <row r="1303" spans="1:6" ht="17.100000000000001" customHeight="1">
      <c r="A1303" s="575"/>
      <c r="B1303" s="1303"/>
      <c r="C1303" s="1320"/>
      <c r="D1303" s="578" t="s">
        <v>191</v>
      </c>
      <c r="E1303" s="579" t="s">
        <v>192</v>
      </c>
      <c r="F1303" s="210">
        <v>2000</v>
      </c>
    </row>
    <row r="1304" spans="1:6" ht="17.100000000000001" customHeight="1">
      <c r="A1304" s="575"/>
      <c r="B1304" s="1265" t="s">
        <v>603</v>
      </c>
      <c r="C1304" s="1266"/>
      <c r="D1304" s="576"/>
      <c r="E1304" s="577" t="s">
        <v>129</v>
      </c>
      <c r="F1304" s="206">
        <f>F1305+F1343</f>
        <v>11365390</v>
      </c>
    </row>
    <row r="1305" spans="1:6" ht="17.100000000000001" customHeight="1">
      <c r="A1305" s="575"/>
      <c r="B1305" s="1267"/>
      <c r="C1305" s="1287"/>
      <c r="D1305" s="1271" t="s">
        <v>146</v>
      </c>
      <c r="E1305" s="1272"/>
      <c r="F1305" s="207">
        <f>F1306+F1310</f>
        <v>11365390</v>
      </c>
    </row>
    <row r="1306" spans="1:6" ht="17.100000000000001" customHeight="1">
      <c r="A1306" s="575"/>
      <c r="B1306" s="1269"/>
      <c r="C1306" s="1288"/>
      <c r="D1306" s="1273" t="s">
        <v>209</v>
      </c>
      <c r="E1306" s="1283"/>
      <c r="F1306" s="210">
        <f>F1307+F1308</f>
        <v>11070768</v>
      </c>
    </row>
    <row r="1307" spans="1:6" ht="38.25">
      <c r="A1307" s="575"/>
      <c r="B1307" s="1269"/>
      <c r="C1307" s="1288"/>
      <c r="D1307" s="578" t="s">
        <v>279</v>
      </c>
      <c r="E1307" s="579" t="s">
        <v>280</v>
      </c>
      <c r="F1307" s="210">
        <v>9155893</v>
      </c>
    </row>
    <row r="1308" spans="1:6" ht="51">
      <c r="A1308" s="575"/>
      <c r="B1308" s="1269"/>
      <c r="C1308" s="1288"/>
      <c r="D1308" s="578" t="s">
        <v>282</v>
      </c>
      <c r="E1308" s="534" t="s">
        <v>467</v>
      </c>
      <c r="F1308" s="210">
        <v>1914875</v>
      </c>
    </row>
    <row r="1309" spans="1:6">
      <c r="A1309" s="575"/>
      <c r="B1309" s="1269"/>
      <c r="C1309" s="1288"/>
      <c r="D1309" s="587"/>
      <c r="E1309" s="1443"/>
      <c r="F1309" s="1444"/>
    </row>
    <row r="1310" spans="1:6" ht="17.100000000000001" customHeight="1">
      <c r="A1310" s="575"/>
      <c r="B1310" s="1269"/>
      <c r="C1310" s="1288"/>
      <c r="D1310" s="1273" t="s">
        <v>213</v>
      </c>
      <c r="E1310" s="1283"/>
      <c r="F1310" s="210">
        <f>SUM(F1311:F1341)</f>
        <v>294622</v>
      </c>
    </row>
    <row r="1311" spans="1:6" ht="38.25" hidden="1" customHeight="1">
      <c r="A1311" s="575"/>
      <c r="B1311" s="1269"/>
      <c r="C1311" s="1288"/>
      <c r="D1311" s="673" t="s">
        <v>527</v>
      </c>
      <c r="E1311" s="579" t="s">
        <v>280</v>
      </c>
      <c r="F1311" s="210">
        <v>0</v>
      </c>
    </row>
    <row r="1312" spans="1:6" ht="17.100000000000001" customHeight="1">
      <c r="A1312" s="575"/>
      <c r="B1312" s="1269"/>
      <c r="C1312" s="1288"/>
      <c r="D1312" s="578" t="s">
        <v>604</v>
      </c>
      <c r="E1312" s="579" t="s">
        <v>150</v>
      </c>
      <c r="F1312" s="210">
        <v>21728</v>
      </c>
    </row>
    <row r="1313" spans="1:6" ht="17.100000000000001" customHeight="1">
      <c r="A1313" s="575"/>
      <c r="B1313" s="1269"/>
      <c r="C1313" s="1288"/>
      <c r="D1313" s="578" t="s">
        <v>335</v>
      </c>
      <c r="E1313" s="579" t="s">
        <v>150</v>
      </c>
      <c r="F1313" s="210">
        <v>123131</v>
      </c>
    </row>
    <row r="1314" spans="1:6" ht="17.100000000000001" customHeight="1">
      <c r="A1314" s="575"/>
      <c r="B1314" s="1269"/>
      <c r="C1314" s="1288"/>
      <c r="D1314" s="578" t="s">
        <v>605</v>
      </c>
      <c r="E1314" s="579" t="s">
        <v>152</v>
      </c>
      <c r="F1314" s="210">
        <v>3582</v>
      </c>
    </row>
    <row r="1315" spans="1:6" ht="17.100000000000001" customHeight="1">
      <c r="A1315" s="575"/>
      <c r="B1315" s="1269"/>
      <c r="C1315" s="1288"/>
      <c r="D1315" s="578" t="s">
        <v>428</v>
      </c>
      <c r="E1315" s="579" t="s">
        <v>152</v>
      </c>
      <c r="F1315" s="210">
        <v>20298</v>
      </c>
    </row>
    <row r="1316" spans="1:6" ht="17.100000000000001" customHeight="1">
      <c r="A1316" s="575"/>
      <c r="B1316" s="1269"/>
      <c r="C1316" s="1288"/>
      <c r="D1316" s="578" t="s">
        <v>606</v>
      </c>
      <c r="E1316" s="579" t="s">
        <v>154</v>
      </c>
      <c r="F1316" s="210">
        <v>4284</v>
      </c>
    </row>
    <row r="1317" spans="1:6" ht="17.100000000000001" customHeight="1">
      <c r="A1317" s="575"/>
      <c r="B1317" s="1269"/>
      <c r="C1317" s="1288"/>
      <c r="D1317" s="578" t="s">
        <v>336</v>
      </c>
      <c r="E1317" s="579" t="s">
        <v>154</v>
      </c>
      <c r="F1317" s="210">
        <v>24284</v>
      </c>
    </row>
    <row r="1318" spans="1:6" ht="17.100000000000001" customHeight="1">
      <c r="A1318" s="575"/>
      <c r="B1318" s="1269"/>
      <c r="C1318" s="1288"/>
      <c r="D1318" s="578" t="s">
        <v>607</v>
      </c>
      <c r="E1318" s="579" t="s">
        <v>156</v>
      </c>
      <c r="F1318" s="210">
        <v>620</v>
      </c>
    </row>
    <row r="1319" spans="1:6" ht="17.100000000000001" customHeight="1">
      <c r="A1319" s="575"/>
      <c r="B1319" s="1269"/>
      <c r="C1319" s="1288"/>
      <c r="D1319" s="578" t="s">
        <v>337</v>
      </c>
      <c r="E1319" s="579" t="s">
        <v>156</v>
      </c>
      <c r="F1319" s="210">
        <v>3514</v>
      </c>
    </row>
    <row r="1320" spans="1:6" ht="17.100000000000001" hidden="1" customHeight="1">
      <c r="A1320" s="575"/>
      <c r="B1320" s="1269"/>
      <c r="C1320" s="1288"/>
      <c r="D1320" s="578" t="s">
        <v>608</v>
      </c>
      <c r="E1320" s="579" t="s">
        <v>158</v>
      </c>
      <c r="F1320" s="210">
        <v>0</v>
      </c>
    </row>
    <row r="1321" spans="1:6" ht="17.100000000000001" hidden="1" customHeight="1">
      <c r="A1321" s="575"/>
      <c r="B1321" s="1269"/>
      <c r="C1321" s="1288"/>
      <c r="D1321" s="578" t="s">
        <v>368</v>
      </c>
      <c r="E1321" s="579" t="s">
        <v>158</v>
      </c>
      <c r="F1321" s="210">
        <v>0</v>
      </c>
    </row>
    <row r="1322" spans="1:6" ht="17.100000000000001" customHeight="1">
      <c r="A1322" s="575"/>
      <c r="B1322" s="1269"/>
      <c r="C1322" s="1288"/>
      <c r="D1322" s="578" t="s">
        <v>609</v>
      </c>
      <c r="E1322" s="579" t="s">
        <v>163</v>
      </c>
      <c r="F1322" s="210">
        <v>450</v>
      </c>
    </row>
    <row r="1323" spans="1:6" ht="17.100000000000001" customHeight="1">
      <c r="A1323" s="575"/>
      <c r="B1323" s="1269"/>
      <c r="C1323" s="1288"/>
      <c r="D1323" s="578" t="s">
        <v>369</v>
      </c>
      <c r="E1323" s="579" t="s">
        <v>163</v>
      </c>
      <c r="F1323" s="210">
        <v>2550</v>
      </c>
    </row>
    <row r="1324" spans="1:6" ht="17.100000000000001" customHeight="1">
      <c r="A1324" s="575"/>
      <c r="B1324" s="1269"/>
      <c r="C1324" s="1288"/>
      <c r="D1324" s="578" t="s">
        <v>610</v>
      </c>
      <c r="E1324" s="579" t="s">
        <v>165</v>
      </c>
      <c r="F1324" s="210">
        <v>826</v>
      </c>
    </row>
    <row r="1325" spans="1:6" ht="17.100000000000001" customHeight="1">
      <c r="A1325" s="575"/>
      <c r="B1325" s="1269"/>
      <c r="C1325" s="1288"/>
      <c r="D1325" s="578" t="s">
        <v>429</v>
      </c>
      <c r="E1325" s="579" t="s">
        <v>165</v>
      </c>
      <c r="F1325" s="210">
        <v>4680</v>
      </c>
    </row>
    <row r="1326" spans="1:6" ht="17.100000000000001" customHeight="1">
      <c r="A1326" s="575"/>
      <c r="B1326" s="1269"/>
      <c r="C1326" s="1288"/>
      <c r="D1326" s="578" t="s">
        <v>611</v>
      </c>
      <c r="E1326" s="579" t="s">
        <v>171</v>
      </c>
      <c r="F1326" s="210">
        <v>10366</v>
      </c>
    </row>
    <row r="1327" spans="1:6" ht="17.100000000000001" customHeight="1">
      <c r="A1327" s="575"/>
      <c r="B1327" s="1269"/>
      <c r="C1327" s="1288"/>
      <c r="D1327" s="578" t="s">
        <v>338</v>
      </c>
      <c r="E1327" s="579" t="s">
        <v>171</v>
      </c>
      <c r="F1327" s="210">
        <v>58738</v>
      </c>
    </row>
    <row r="1328" spans="1:6" ht="17.100000000000001" hidden="1" customHeight="1">
      <c r="A1328" s="575"/>
      <c r="B1328" s="1269"/>
      <c r="C1328" s="1288"/>
      <c r="D1328" s="578" t="s">
        <v>612</v>
      </c>
      <c r="E1328" s="579" t="s">
        <v>267</v>
      </c>
      <c r="F1328" s="210">
        <v>0</v>
      </c>
    </row>
    <row r="1329" spans="1:7" ht="17.100000000000001" hidden="1" customHeight="1">
      <c r="A1329" s="575"/>
      <c r="B1329" s="1269"/>
      <c r="C1329" s="1288"/>
      <c r="D1329" s="578" t="s">
        <v>430</v>
      </c>
      <c r="E1329" s="579" t="s">
        <v>267</v>
      </c>
      <c r="F1329" s="210">
        <v>0</v>
      </c>
    </row>
    <row r="1330" spans="1:7" ht="16.5" customHeight="1">
      <c r="A1330" s="575"/>
      <c r="B1330" s="1269"/>
      <c r="C1330" s="1288"/>
      <c r="D1330" s="578" t="s">
        <v>613</v>
      </c>
      <c r="E1330" s="579" t="s">
        <v>358</v>
      </c>
      <c r="F1330" s="210">
        <v>379</v>
      </c>
    </row>
    <row r="1331" spans="1:7" ht="16.5" customHeight="1">
      <c r="A1331" s="575"/>
      <c r="B1331" s="1269"/>
      <c r="C1331" s="1288"/>
      <c r="D1331" s="578" t="s">
        <v>532</v>
      </c>
      <c r="E1331" s="579" t="s">
        <v>358</v>
      </c>
      <c r="F1331" s="210">
        <v>2148</v>
      </c>
    </row>
    <row r="1332" spans="1:7" ht="17.100000000000001" customHeight="1">
      <c r="A1332" s="575"/>
      <c r="B1332" s="1269"/>
      <c r="C1332" s="1288"/>
      <c r="D1332" s="578" t="s">
        <v>614</v>
      </c>
      <c r="E1332" s="579" t="s">
        <v>371</v>
      </c>
      <c r="F1332" s="210">
        <v>422</v>
      </c>
    </row>
    <row r="1333" spans="1:7" ht="17.100000000000001" customHeight="1">
      <c r="A1333" s="575"/>
      <c r="B1333" s="1269"/>
      <c r="C1333" s="1288"/>
      <c r="D1333" s="578" t="s">
        <v>370</v>
      </c>
      <c r="E1333" s="579" t="s">
        <v>371</v>
      </c>
      <c r="F1333" s="210">
        <v>2386</v>
      </c>
    </row>
    <row r="1334" spans="1:7" ht="20.100000000000001" customHeight="1">
      <c r="A1334" s="575"/>
      <c r="B1334" s="1269"/>
      <c r="C1334" s="1288"/>
      <c r="D1334" s="578" t="s">
        <v>615</v>
      </c>
      <c r="E1334" s="579" t="s">
        <v>175</v>
      </c>
      <c r="F1334" s="210">
        <v>1134</v>
      </c>
    </row>
    <row r="1335" spans="1:7" ht="20.100000000000001" customHeight="1">
      <c r="A1335" s="575"/>
      <c r="B1335" s="1269"/>
      <c r="C1335" s="1288"/>
      <c r="D1335" s="578" t="s">
        <v>433</v>
      </c>
      <c r="E1335" s="579" t="s">
        <v>175</v>
      </c>
      <c r="F1335" s="210">
        <v>6426</v>
      </c>
    </row>
    <row r="1336" spans="1:7" ht="17.100000000000001" customHeight="1">
      <c r="A1336" s="575"/>
      <c r="B1336" s="1269"/>
      <c r="C1336" s="1288"/>
      <c r="D1336" s="578" t="s">
        <v>616</v>
      </c>
      <c r="E1336" s="579" t="s">
        <v>177</v>
      </c>
      <c r="F1336" s="210">
        <v>351</v>
      </c>
    </row>
    <row r="1337" spans="1:7" ht="17.100000000000001" customHeight="1">
      <c r="A1337" s="575"/>
      <c r="B1337" s="1269"/>
      <c r="C1337" s="1288"/>
      <c r="D1337" s="583" t="s">
        <v>339</v>
      </c>
      <c r="E1337" s="584" t="s">
        <v>177</v>
      </c>
      <c r="F1337" s="585">
        <v>1980</v>
      </c>
    </row>
    <row r="1338" spans="1:7" ht="17.100000000000001" hidden="1" customHeight="1">
      <c r="A1338" s="575"/>
      <c r="B1338" s="1269"/>
      <c r="C1338" s="1288"/>
      <c r="D1338" s="578" t="s">
        <v>617</v>
      </c>
      <c r="E1338" s="579" t="s">
        <v>183</v>
      </c>
      <c r="F1338" s="612"/>
    </row>
    <row r="1339" spans="1:7" ht="17.100000000000001" hidden="1" customHeight="1">
      <c r="A1339" s="575"/>
      <c r="B1339" s="1269"/>
      <c r="C1339" s="1288"/>
      <c r="D1339" s="578" t="s">
        <v>618</v>
      </c>
      <c r="E1339" s="579" t="s">
        <v>183</v>
      </c>
      <c r="F1339" s="612"/>
    </row>
    <row r="1340" spans="1:7" ht="17.100000000000001" customHeight="1">
      <c r="A1340" s="575"/>
      <c r="B1340" s="1269"/>
      <c r="C1340" s="1288"/>
      <c r="D1340" s="578" t="s">
        <v>619</v>
      </c>
      <c r="E1340" s="579" t="s">
        <v>187</v>
      </c>
      <c r="F1340" s="612">
        <v>52</v>
      </c>
    </row>
    <row r="1341" spans="1:7" ht="17.100000000000001" customHeight="1">
      <c r="A1341" s="575"/>
      <c r="B1341" s="1269"/>
      <c r="C1341" s="1288"/>
      <c r="D1341" s="578" t="s">
        <v>542</v>
      </c>
      <c r="E1341" s="579" t="s">
        <v>187</v>
      </c>
      <c r="F1341" s="612">
        <v>293</v>
      </c>
    </row>
    <row r="1342" spans="1:7" ht="17.100000000000001" hidden="1" customHeight="1">
      <c r="A1342" s="575"/>
      <c r="B1342" s="1269"/>
      <c r="C1342" s="1288"/>
      <c r="D1342" s="1277"/>
      <c r="E1342" s="1281"/>
      <c r="F1342" s="1282"/>
    </row>
    <row r="1343" spans="1:7" ht="17.100000000000001" hidden="1" customHeight="1">
      <c r="A1343" s="575"/>
      <c r="B1343" s="1269"/>
      <c r="C1343" s="1288"/>
      <c r="D1343" s="1312" t="s">
        <v>319</v>
      </c>
      <c r="E1343" s="1313"/>
      <c r="F1343" s="207">
        <f>F1344</f>
        <v>0</v>
      </c>
    </row>
    <row r="1344" spans="1:7" ht="17.100000000000001" hidden="1" customHeight="1">
      <c r="A1344" s="575"/>
      <c r="B1344" s="1269"/>
      <c r="C1344" s="1288"/>
      <c r="D1344" s="1285" t="s">
        <v>203</v>
      </c>
      <c r="E1344" s="1286"/>
      <c r="F1344" s="210">
        <f>F1345</f>
        <v>0</v>
      </c>
      <c r="G1344" s="213"/>
    </row>
    <row r="1345" spans="1:7" ht="38.25" hidden="1">
      <c r="A1345" s="575"/>
      <c r="B1345" s="1269"/>
      <c r="C1345" s="1288"/>
      <c r="D1345" s="578" t="s">
        <v>342</v>
      </c>
      <c r="E1345" s="579" t="s">
        <v>280</v>
      </c>
      <c r="F1345" s="210">
        <v>0</v>
      </c>
      <c r="G1345" s="213"/>
    </row>
    <row r="1346" spans="1:7" ht="15" hidden="1" customHeight="1">
      <c r="A1346" s="575"/>
      <c r="B1346" s="1289"/>
      <c r="C1346" s="1290"/>
      <c r="D1346" s="1277"/>
      <c r="E1346" s="1291"/>
      <c r="F1346" s="1292"/>
      <c r="G1346" s="213"/>
    </row>
    <row r="1347" spans="1:7" ht="18.75" hidden="1" customHeight="1">
      <c r="A1347" s="575"/>
      <c r="B1347" s="1289"/>
      <c r="C1347" s="1290"/>
      <c r="D1347" s="1279" t="s">
        <v>206</v>
      </c>
      <c r="E1347" s="1311"/>
      <c r="F1347" s="210">
        <f>F1348</f>
        <v>0</v>
      </c>
      <c r="G1347" s="213"/>
    </row>
    <row r="1348" spans="1:7" ht="39.75" hidden="1" customHeight="1">
      <c r="A1348" s="575"/>
      <c r="B1348" s="1345"/>
      <c r="C1348" s="1361"/>
      <c r="D1348" s="578" t="s">
        <v>342</v>
      </c>
      <c r="E1348" s="579" t="s">
        <v>280</v>
      </c>
      <c r="F1348" s="210">
        <v>0</v>
      </c>
      <c r="G1348" s="213"/>
    </row>
    <row r="1349" spans="1:7" ht="17.100000000000001" customHeight="1">
      <c r="A1349" s="572" t="s">
        <v>620</v>
      </c>
      <c r="B1349" s="1263"/>
      <c r="C1349" s="1264"/>
      <c r="D1349" s="573"/>
      <c r="E1349" s="574" t="s">
        <v>621</v>
      </c>
      <c r="F1349" s="205">
        <f>F1350+F1356+F1438</f>
        <v>43492418</v>
      </c>
    </row>
    <row r="1350" spans="1:7" ht="17.100000000000001" customHeight="1">
      <c r="A1350" s="575"/>
      <c r="B1350" s="1265" t="s">
        <v>622</v>
      </c>
      <c r="C1350" s="1266"/>
      <c r="D1350" s="576"/>
      <c r="E1350" s="577" t="s">
        <v>623</v>
      </c>
      <c r="F1350" s="206">
        <f>F1351</f>
        <v>1717320</v>
      </c>
    </row>
    <row r="1351" spans="1:7" ht="17.100000000000001" customHeight="1">
      <c r="A1351" s="575"/>
      <c r="B1351" s="1267"/>
      <c r="C1351" s="1268"/>
      <c r="D1351" s="1271" t="s">
        <v>146</v>
      </c>
      <c r="E1351" s="1272"/>
      <c r="F1351" s="207">
        <f>F1352</f>
        <v>1717320</v>
      </c>
    </row>
    <row r="1352" spans="1:7" ht="17.100000000000001" customHeight="1">
      <c r="A1352" s="575"/>
      <c r="B1352" s="1269"/>
      <c r="C1352" s="1270"/>
      <c r="D1352" s="1273" t="s">
        <v>209</v>
      </c>
      <c r="E1352" s="1283"/>
      <c r="F1352" s="210">
        <f>SUM(F1353:F1355)</f>
        <v>1717320</v>
      </c>
    </row>
    <row r="1353" spans="1:7" ht="46.5" customHeight="1">
      <c r="A1353" s="575"/>
      <c r="B1353" s="1269"/>
      <c r="C1353" s="1270"/>
      <c r="D1353" s="578" t="s">
        <v>261</v>
      </c>
      <c r="E1353" s="579" t="s">
        <v>262</v>
      </c>
      <c r="F1353" s="210">
        <f>777925</f>
        <v>777925</v>
      </c>
    </row>
    <row r="1354" spans="1:7" ht="28.5" customHeight="1">
      <c r="A1354" s="575"/>
      <c r="B1354" s="1277"/>
      <c r="C1354" s="1278"/>
      <c r="D1354" s="578" t="s">
        <v>624</v>
      </c>
      <c r="E1354" s="579" t="s">
        <v>625</v>
      </c>
      <c r="F1354" s="210">
        <v>82223</v>
      </c>
    </row>
    <row r="1355" spans="1:7" ht="24" customHeight="1">
      <c r="A1355" s="575"/>
      <c r="B1355" s="1303"/>
      <c r="C1355" s="1320"/>
      <c r="D1355" s="578" t="s">
        <v>626</v>
      </c>
      <c r="E1355" s="579" t="s">
        <v>627</v>
      </c>
      <c r="F1355" s="210">
        <v>857172</v>
      </c>
    </row>
    <row r="1356" spans="1:7" ht="17.100000000000001" customHeight="1">
      <c r="A1356" s="575"/>
      <c r="B1356" s="1265" t="s">
        <v>628</v>
      </c>
      <c r="C1356" s="1266"/>
      <c r="D1356" s="576"/>
      <c r="E1356" s="577" t="s">
        <v>629</v>
      </c>
      <c r="F1356" s="206">
        <f>F1357+F1424</f>
        <v>33959669</v>
      </c>
    </row>
    <row r="1357" spans="1:7" ht="17.100000000000001" customHeight="1">
      <c r="A1357" s="575"/>
      <c r="B1357" s="580"/>
      <c r="C1357" s="550"/>
      <c r="D1357" s="1271" t="s">
        <v>146</v>
      </c>
      <c r="E1357" s="1272"/>
      <c r="F1357" s="227">
        <f>F1358+F1384+F1388</f>
        <v>30427669</v>
      </c>
    </row>
    <row r="1358" spans="1:7" ht="17.100000000000001" customHeight="1">
      <c r="A1358" s="575"/>
      <c r="B1358" s="580"/>
      <c r="C1358" s="550"/>
      <c r="D1358" s="1452" t="s">
        <v>147</v>
      </c>
      <c r="E1358" s="1453"/>
      <c r="F1358" s="674">
        <f>F1359+F1366</f>
        <v>10842859</v>
      </c>
    </row>
    <row r="1359" spans="1:7" ht="17.100000000000001" customHeight="1">
      <c r="A1359" s="575"/>
      <c r="B1359" s="580"/>
      <c r="C1359" s="551"/>
      <c r="D1359" s="1454" t="s">
        <v>148</v>
      </c>
      <c r="E1359" s="1455"/>
      <c r="F1359" s="208">
        <f>SUM(F1360:F1364)</f>
        <v>8890219</v>
      </c>
    </row>
    <row r="1360" spans="1:7" ht="17.100000000000001" customHeight="1">
      <c r="A1360" s="575"/>
      <c r="B1360" s="580"/>
      <c r="C1360" s="550"/>
      <c r="D1360" s="531" t="s">
        <v>149</v>
      </c>
      <c r="E1360" s="532" t="s">
        <v>150</v>
      </c>
      <c r="F1360" s="675">
        <v>6937165</v>
      </c>
    </row>
    <row r="1361" spans="1:6" ht="17.100000000000001" customHeight="1">
      <c r="A1361" s="575"/>
      <c r="B1361" s="580"/>
      <c r="C1361" s="550"/>
      <c r="D1361" s="578" t="s">
        <v>151</v>
      </c>
      <c r="E1361" s="579" t="s">
        <v>152</v>
      </c>
      <c r="F1361" s="208">
        <v>552087</v>
      </c>
    </row>
    <row r="1362" spans="1:6" ht="17.100000000000001" customHeight="1">
      <c r="A1362" s="575"/>
      <c r="B1362" s="580"/>
      <c r="C1362" s="550"/>
      <c r="D1362" s="578" t="s">
        <v>153</v>
      </c>
      <c r="E1362" s="579" t="s">
        <v>154</v>
      </c>
      <c r="F1362" s="208">
        <v>1216975</v>
      </c>
    </row>
    <row r="1363" spans="1:6" ht="17.100000000000001" customHeight="1">
      <c r="A1363" s="575"/>
      <c r="B1363" s="580"/>
      <c r="C1363" s="550"/>
      <c r="D1363" s="578" t="s">
        <v>155</v>
      </c>
      <c r="E1363" s="579" t="s">
        <v>156</v>
      </c>
      <c r="F1363" s="208">
        <v>174252</v>
      </c>
    </row>
    <row r="1364" spans="1:6" ht="17.100000000000001" customHeight="1">
      <c r="A1364" s="575"/>
      <c r="B1364" s="580"/>
      <c r="C1364" s="550"/>
      <c r="D1364" s="578" t="s">
        <v>157</v>
      </c>
      <c r="E1364" s="579" t="s">
        <v>158</v>
      </c>
      <c r="F1364" s="208">
        <v>9740</v>
      </c>
    </row>
    <row r="1365" spans="1:6" ht="17.100000000000001" customHeight="1">
      <c r="A1365" s="575"/>
      <c r="B1365" s="580"/>
      <c r="C1365" s="550"/>
      <c r="D1365" s="1277"/>
      <c r="E1365" s="1281"/>
      <c r="F1365" s="1282"/>
    </row>
    <row r="1366" spans="1:6" ht="17.100000000000001" customHeight="1">
      <c r="A1366" s="575"/>
      <c r="B1366" s="1277"/>
      <c r="C1366" s="1281"/>
      <c r="D1366" s="1445" t="s">
        <v>159</v>
      </c>
      <c r="E1366" s="1446"/>
      <c r="F1366" s="208">
        <f>SUM(F1367:F1382)</f>
        <v>1952640</v>
      </c>
    </row>
    <row r="1367" spans="1:6" ht="17.100000000000001" customHeight="1">
      <c r="A1367" s="575"/>
      <c r="B1367" s="580"/>
      <c r="C1367" s="551"/>
      <c r="D1367" s="578" t="s">
        <v>160</v>
      </c>
      <c r="E1367" s="579" t="s">
        <v>161</v>
      </c>
      <c r="F1367" s="208">
        <v>7000</v>
      </c>
    </row>
    <row r="1368" spans="1:6" ht="17.100000000000001" customHeight="1">
      <c r="A1368" s="575"/>
      <c r="B1368" s="580"/>
      <c r="C1368" s="551"/>
      <c r="D1368" s="578" t="s">
        <v>162</v>
      </c>
      <c r="E1368" s="579" t="s">
        <v>163</v>
      </c>
      <c r="F1368" s="208">
        <v>227810</v>
      </c>
    </row>
    <row r="1369" spans="1:6" ht="17.100000000000001" customHeight="1">
      <c r="A1369" s="575"/>
      <c r="B1369" s="580"/>
      <c r="C1369" s="551"/>
      <c r="D1369" s="578" t="s">
        <v>164</v>
      </c>
      <c r="E1369" s="579" t="s">
        <v>165</v>
      </c>
      <c r="F1369" s="208">
        <v>222725</v>
      </c>
    </row>
    <row r="1370" spans="1:6" ht="17.100000000000001" customHeight="1">
      <c r="A1370" s="575"/>
      <c r="B1370" s="580"/>
      <c r="C1370" s="551"/>
      <c r="D1370" s="578" t="s">
        <v>166</v>
      </c>
      <c r="E1370" s="579" t="s">
        <v>167</v>
      </c>
      <c r="F1370" s="208">
        <v>89750</v>
      </c>
    </row>
    <row r="1371" spans="1:6" ht="17.100000000000001" customHeight="1">
      <c r="A1371" s="575"/>
      <c r="B1371" s="580"/>
      <c r="C1371" s="551"/>
      <c r="D1371" s="578" t="s">
        <v>168</v>
      </c>
      <c r="E1371" s="579" t="s">
        <v>169</v>
      </c>
      <c r="F1371" s="208">
        <v>4410</v>
      </c>
    </row>
    <row r="1372" spans="1:6" ht="17.100000000000001" customHeight="1">
      <c r="A1372" s="575"/>
      <c r="B1372" s="580"/>
      <c r="C1372" s="551"/>
      <c r="D1372" s="578" t="s">
        <v>170</v>
      </c>
      <c r="E1372" s="579" t="s">
        <v>171</v>
      </c>
      <c r="F1372" s="208">
        <v>483645</v>
      </c>
    </row>
    <row r="1373" spans="1:6" ht="16.5" customHeight="1">
      <c r="A1373" s="575"/>
      <c r="B1373" s="580"/>
      <c r="C1373" s="551"/>
      <c r="D1373" s="578" t="s">
        <v>172</v>
      </c>
      <c r="E1373" s="579" t="s">
        <v>173</v>
      </c>
      <c r="F1373" s="208">
        <v>56200</v>
      </c>
    </row>
    <row r="1374" spans="1:6" ht="17.100000000000001" customHeight="1">
      <c r="A1374" s="575"/>
      <c r="B1374" s="580"/>
      <c r="C1374" s="551"/>
      <c r="D1374" s="578" t="s">
        <v>174</v>
      </c>
      <c r="E1374" s="579" t="s">
        <v>175</v>
      </c>
      <c r="F1374" s="208">
        <v>225700</v>
      </c>
    </row>
    <row r="1375" spans="1:6" ht="17.100000000000001" customHeight="1">
      <c r="A1375" s="575"/>
      <c r="B1375" s="580"/>
      <c r="C1375" s="551"/>
      <c r="D1375" s="578" t="s">
        <v>176</v>
      </c>
      <c r="E1375" s="579" t="s">
        <v>177</v>
      </c>
      <c r="F1375" s="208">
        <v>41000</v>
      </c>
    </row>
    <row r="1376" spans="1:6" ht="17.100000000000001" customHeight="1">
      <c r="A1376" s="575"/>
      <c r="B1376" s="580"/>
      <c r="C1376" s="551"/>
      <c r="D1376" s="578" t="s">
        <v>314</v>
      </c>
      <c r="E1376" s="579" t="s">
        <v>315</v>
      </c>
      <c r="F1376" s="208">
        <v>3600</v>
      </c>
    </row>
    <row r="1377" spans="1:9" ht="17.100000000000001" customHeight="1">
      <c r="A1377" s="575"/>
      <c r="B1377" s="580"/>
      <c r="C1377" s="551"/>
      <c r="D1377" s="578" t="s">
        <v>178</v>
      </c>
      <c r="E1377" s="579" t="s">
        <v>179</v>
      </c>
      <c r="F1377" s="208">
        <v>25000</v>
      </c>
    </row>
    <row r="1378" spans="1:9" ht="17.100000000000001" customHeight="1">
      <c r="A1378" s="575"/>
      <c r="B1378" s="580"/>
      <c r="C1378" s="551"/>
      <c r="D1378" s="578" t="s">
        <v>180</v>
      </c>
      <c r="E1378" s="579" t="s">
        <v>181</v>
      </c>
      <c r="F1378" s="208">
        <v>388600</v>
      </c>
    </row>
    <row r="1379" spans="1:9" ht="17.100000000000001" customHeight="1">
      <c r="A1379" s="575"/>
      <c r="B1379" s="580"/>
      <c r="C1379" s="551"/>
      <c r="D1379" s="578" t="s">
        <v>182</v>
      </c>
      <c r="E1379" s="579" t="s">
        <v>183</v>
      </c>
      <c r="F1379" s="208">
        <v>32000</v>
      </c>
    </row>
    <row r="1380" spans="1:9" ht="17.100000000000001" customHeight="1">
      <c r="A1380" s="575"/>
      <c r="B1380" s="580"/>
      <c r="C1380" s="551"/>
      <c r="D1380" s="578" t="s">
        <v>186</v>
      </c>
      <c r="E1380" s="579" t="s">
        <v>187</v>
      </c>
      <c r="F1380" s="208">
        <v>116700</v>
      </c>
    </row>
    <row r="1381" spans="1:9" ht="17.100000000000001" customHeight="1">
      <c r="A1381" s="575"/>
      <c r="B1381" s="580"/>
      <c r="C1381" s="551"/>
      <c r="D1381" s="578" t="s">
        <v>195</v>
      </c>
      <c r="E1381" s="579" t="s">
        <v>196</v>
      </c>
      <c r="F1381" s="208">
        <v>6200</v>
      </c>
    </row>
    <row r="1382" spans="1:9" ht="17.100000000000001" customHeight="1">
      <c r="A1382" s="575"/>
      <c r="B1382" s="580"/>
      <c r="C1382" s="551"/>
      <c r="D1382" s="578" t="s">
        <v>188</v>
      </c>
      <c r="E1382" s="579" t="s">
        <v>189</v>
      </c>
      <c r="F1382" s="208">
        <v>22300</v>
      </c>
    </row>
    <row r="1383" spans="1:9" ht="17.100000000000001" customHeight="1">
      <c r="A1383" s="575"/>
      <c r="B1383" s="580"/>
      <c r="C1383" s="551"/>
      <c r="D1383" s="1447"/>
      <c r="E1383" s="1448"/>
      <c r="F1383" s="1449"/>
    </row>
    <row r="1384" spans="1:9" ht="17.100000000000001" customHeight="1">
      <c r="A1384" s="575"/>
      <c r="B1384" s="580"/>
      <c r="C1384" s="551"/>
      <c r="D1384" s="1450" t="s">
        <v>190</v>
      </c>
      <c r="E1384" s="1451"/>
      <c r="F1384" s="208">
        <f>F1385+F1386</f>
        <v>21250</v>
      </c>
    </row>
    <row r="1385" spans="1:9" ht="17.100000000000001" customHeight="1">
      <c r="A1385" s="575"/>
      <c r="B1385" s="580"/>
      <c r="C1385" s="551"/>
      <c r="D1385" s="583" t="s">
        <v>191</v>
      </c>
      <c r="E1385" s="584" t="s">
        <v>192</v>
      </c>
      <c r="F1385" s="674">
        <v>21000</v>
      </c>
    </row>
    <row r="1386" spans="1:9" ht="17.100000000000001" customHeight="1">
      <c r="A1386" s="575"/>
      <c r="B1386" s="580"/>
      <c r="C1386" s="551"/>
      <c r="D1386" s="211" t="s">
        <v>379</v>
      </c>
      <c r="E1386" s="559" t="s">
        <v>465</v>
      </c>
      <c r="F1386" s="208">
        <v>250</v>
      </c>
    </row>
    <row r="1387" spans="1:9" ht="17.100000000000001" customHeight="1">
      <c r="A1387" s="575"/>
      <c r="B1387" s="580"/>
      <c r="C1387" s="551"/>
      <c r="D1387" s="1447"/>
      <c r="E1387" s="1448"/>
      <c r="F1387" s="1449"/>
    </row>
    <row r="1388" spans="1:9" ht="17.100000000000001" customHeight="1">
      <c r="A1388" s="575"/>
      <c r="B1388" s="580"/>
      <c r="C1388" s="551"/>
      <c r="D1388" s="1456" t="s">
        <v>213</v>
      </c>
      <c r="E1388" s="1457"/>
      <c r="F1388" s="208">
        <f>SUM(F1389:F1422)</f>
        <v>19563560</v>
      </c>
    </row>
    <row r="1389" spans="1:9" ht="16.5" customHeight="1">
      <c r="A1389" s="575"/>
      <c r="B1389" s="580"/>
      <c r="C1389" s="551"/>
      <c r="D1389" s="578" t="s">
        <v>389</v>
      </c>
      <c r="E1389" s="584" t="s">
        <v>192</v>
      </c>
      <c r="F1389" s="208">
        <f>7650+4214</f>
        <v>11864</v>
      </c>
      <c r="I1389" s="201" t="s">
        <v>630</v>
      </c>
    </row>
    <row r="1390" spans="1:9" ht="16.5" customHeight="1">
      <c r="A1390" s="575"/>
      <c r="B1390" s="580"/>
      <c r="C1390" s="551"/>
      <c r="D1390" s="578" t="s">
        <v>390</v>
      </c>
      <c r="E1390" s="584" t="s">
        <v>192</v>
      </c>
      <c r="F1390" s="208">
        <f>1350+786</f>
        <v>2136</v>
      </c>
      <c r="I1390" s="201" t="s">
        <v>631</v>
      </c>
    </row>
    <row r="1391" spans="1:9" ht="17.100000000000001" customHeight="1">
      <c r="A1391" s="575"/>
      <c r="B1391" s="1277"/>
      <c r="C1391" s="1281"/>
      <c r="D1391" s="211" t="s">
        <v>214</v>
      </c>
      <c r="E1391" s="582" t="s">
        <v>150</v>
      </c>
      <c r="F1391" s="208">
        <f>8810335+2029209</f>
        <v>10839544</v>
      </c>
      <c r="I1391" s="201" t="s">
        <v>632</v>
      </c>
    </row>
    <row r="1392" spans="1:9" ht="17.100000000000001" customHeight="1">
      <c r="A1392" s="575"/>
      <c r="B1392" s="1277"/>
      <c r="C1392" s="1278"/>
      <c r="D1392" s="531" t="s">
        <v>215</v>
      </c>
      <c r="E1392" s="579" t="s">
        <v>150</v>
      </c>
      <c r="F1392" s="208">
        <f>1554765+378491</f>
        <v>1933256</v>
      </c>
      <c r="I1392" s="201" t="s">
        <v>633</v>
      </c>
    </row>
    <row r="1393" spans="1:9" ht="17.100000000000001" customHeight="1">
      <c r="A1393" s="575"/>
      <c r="B1393" s="1277"/>
      <c r="C1393" s="1278"/>
      <c r="D1393" s="578" t="s">
        <v>216</v>
      </c>
      <c r="E1393" s="579" t="s">
        <v>152</v>
      </c>
      <c r="F1393" s="208">
        <f>32579+614894</f>
        <v>647473</v>
      </c>
      <c r="I1393" s="201" t="s">
        <v>634</v>
      </c>
    </row>
    <row r="1394" spans="1:9" ht="17.100000000000001" customHeight="1">
      <c r="A1394" s="575"/>
      <c r="B1394" s="1277"/>
      <c r="C1394" s="1278"/>
      <c r="D1394" s="578" t="s">
        <v>217</v>
      </c>
      <c r="E1394" s="579" t="s">
        <v>152</v>
      </c>
      <c r="F1394" s="208">
        <f>5749+114691</f>
        <v>120440</v>
      </c>
      <c r="I1394" s="201" t="s">
        <v>635</v>
      </c>
    </row>
    <row r="1395" spans="1:9" ht="17.100000000000001" customHeight="1">
      <c r="A1395" s="575"/>
      <c r="B1395" s="1277"/>
      <c r="C1395" s="1278"/>
      <c r="D1395" s="578" t="s">
        <v>218</v>
      </c>
      <c r="E1395" s="579" t="s">
        <v>154</v>
      </c>
      <c r="F1395" s="208">
        <f>1512138+452141</f>
        <v>1964279</v>
      </c>
      <c r="I1395" s="201" t="s">
        <v>636</v>
      </c>
    </row>
    <row r="1396" spans="1:9" ht="17.100000000000001" customHeight="1">
      <c r="A1396" s="575"/>
      <c r="B1396" s="1277"/>
      <c r="C1396" s="1278"/>
      <c r="D1396" s="578" t="s">
        <v>219</v>
      </c>
      <c r="E1396" s="579" t="s">
        <v>154</v>
      </c>
      <c r="F1396" s="208">
        <f>266848+84335</f>
        <v>351183</v>
      </c>
      <c r="I1396" s="201" t="s">
        <v>637</v>
      </c>
    </row>
    <row r="1397" spans="1:9" ht="17.100000000000001" customHeight="1">
      <c r="A1397" s="575"/>
      <c r="B1397" s="1277"/>
      <c r="C1397" s="1278"/>
      <c r="D1397" s="578" t="s">
        <v>220</v>
      </c>
      <c r="E1397" s="579" t="s">
        <v>156</v>
      </c>
      <c r="F1397" s="208">
        <f>216651+64781</f>
        <v>281432</v>
      </c>
      <c r="I1397" s="201" t="s">
        <v>638</v>
      </c>
    </row>
    <row r="1398" spans="1:9" ht="17.100000000000001" customHeight="1">
      <c r="A1398" s="575"/>
      <c r="B1398" s="1277"/>
      <c r="C1398" s="1278"/>
      <c r="D1398" s="578" t="s">
        <v>221</v>
      </c>
      <c r="E1398" s="579" t="s">
        <v>156</v>
      </c>
      <c r="F1398" s="208">
        <f>38233+12083</f>
        <v>50316</v>
      </c>
      <c r="I1398" s="201" t="s">
        <v>639</v>
      </c>
    </row>
    <row r="1399" spans="1:9" ht="17.100000000000001" customHeight="1">
      <c r="A1399" s="575"/>
      <c r="B1399" s="1277"/>
      <c r="C1399" s="1278"/>
      <c r="D1399" s="578" t="s">
        <v>222</v>
      </c>
      <c r="E1399" s="579" t="s">
        <v>158</v>
      </c>
      <c r="F1399" s="208">
        <f>94265+33712</f>
        <v>127977</v>
      </c>
      <c r="I1399" s="201" t="s">
        <v>640</v>
      </c>
    </row>
    <row r="1400" spans="1:9" ht="17.100000000000001" customHeight="1">
      <c r="A1400" s="575"/>
      <c r="B1400" s="1277"/>
      <c r="C1400" s="1278"/>
      <c r="D1400" s="578" t="s">
        <v>223</v>
      </c>
      <c r="E1400" s="579" t="s">
        <v>158</v>
      </c>
      <c r="F1400" s="208">
        <f>16635+6288</f>
        <v>22923</v>
      </c>
      <c r="I1400" s="201" t="s">
        <v>641</v>
      </c>
    </row>
    <row r="1401" spans="1:9" ht="17.100000000000001" customHeight="1">
      <c r="A1401" s="575"/>
      <c r="B1401" s="1277"/>
      <c r="C1401" s="1278"/>
      <c r="D1401" s="578" t="s">
        <v>227</v>
      </c>
      <c r="E1401" s="579" t="s">
        <v>163</v>
      </c>
      <c r="F1401" s="208">
        <f>214370+142981</f>
        <v>357351</v>
      </c>
      <c r="I1401" s="201" t="s">
        <v>642</v>
      </c>
    </row>
    <row r="1402" spans="1:9" ht="17.100000000000001" customHeight="1">
      <c r="A1402" s="575"/>
      <c r="B1402" s="1277"/>
      <c r="C1402" s="1278"/>
      <c r="D1402" s="578" t="s">
        <v>228</v>
      </c>
      <c r="E1402" s="579" t="s">
        <v>163</v>
      </c>
      <c r="F1402" s="208">
        <f>37830+26669</f>
        <v>64499</v>
      </c>
      <c r="I1402" s="201" t="s">
        <v>643</v>
      </c>
    </row>
    <row r="1403" spans="1:9" ht="17.100000000000001" customHeight="1">
      <c r="A1403" s="575"/>
      <c r="B1403" s="1277"/>
      <c r="C1403" s="1278"/>
      <c r="D1403" s="578" t="s">
        <v>398</v>
      </c>
      <c r="E1403" s="579" t="s">
        <v>165</v>
      </c>
      <c r="F1403" s="208">
        <f>76100+49599</f>
        <v>125699</v>
      </c>
      <c r="I1403" s="201" t="s">
        <v>644</v>
      </c>
    </row>
    <row r="1404" spans="1:9" ht="17.100000000000001" customHeight="1">
      <c r="A1404" s="575"/>
      <c r="B1404" s="1277"/>
      <c r="C1404" s="1278"/>
      <c r="D1404" s="578" t="s">
        <v>399</v>
      </c>
      <c r="E1404" s="579" t="s">
        <v>165</v>
      </c>
      <c r="F1404" s="208">
        <f>13430+9251</f>
        <v>22681</v>
      </c>
      <c r="I1404" s="201" t="s">
        <v>645</v>
      </c>
    </row>
    <row r="1405" spans="1:9" ht="17.100000000000001" customHeight="1">
      <c r="A1405" s="575"/>
      <c r="B1405" s="1277"/>
      <c r="C1405" s="1278"/>
      <c r="D1405" s="578" t="s">
        <v>400</v>
      </c>
      <c r="E1405" s="579" t="s">
        <v>169</v>
      </c>
      <c r="F1405" s="208">
        <f>3060+379</f>
        <v>3439</v>
      </c>
      <c r="I1405" s="201" t="s">
        <v>646</v>
      </c>
    </row>
    <row r="1406" spans="1:9" ht="17.100000000000001" customHeight="1">
      <c r="A1406" s="575"/>
      <c r="B1406" s="1277"/>
      <c r="C1406" s="1278"/>
      <c r="D1406" s="578" t="s">
        <v>401</v>
      </c>
      <c r="E1406" s="579" t="s">
        <v>169</v>
      </c>
      <c r="F1406" s="208">
        <f>540+71</f>
        <v>611</v>
      </c>
      <c r="I1406" s="201" t="s">
        <v>647</v>
      </c>
    </row>
    <row r="1407" spans="1:9" ht="17.100000000000001" customHeight="1">
      <c r="A1407" s="575"/>
      <c r="B1407" s="1277"/>
      <c r="C1407" s="1278"/>
      <c r="D1407" s="578" t="s">
        <v>231</v>
      </c>
      <c r="E1407" s="579" t="s">
        <v>171</v>
      </c>
      <c r="F1407" s="208">
        <f>287768+75393</f>
        <v>363161</v>
      </c>
      <c r="I1407" s="201" t="s">
        <v>648</v>
      </c>
    </row>
    <row r="1408" spans="1:9" ht="17.100000000000001" customHeight="1">
      <c r="A1408" s="575"/>
      <c r="B1408" s="1277"/>
      <c r="C1408" s="1278"/>
      <c r="D1408" s="578" t="s">
        <v>232</v>
      </c>
      <c r="E1408" s="579" t="s">
        <v>171</v>
      </c>
      <c r="F1408" s="208">
        <f>50782+14062</f>
        <v>64844</v>
      </c>
      <c r="I1408" s="201" t="s">
        <v>649</v>
      </c>
    </row>
    <row r="1409" spans="1:9" ht="16.5" customHeight="1">
      <c r="A1409" s="575"/>
      <c r="B1409" s="1277"/>
      <c r="C1409" s="1278"/>
      <c r="D1409" s="578" t="s">
        <v>270</v>
      </c>
      <c r="E1409" s="579" t="s">
        <v>173</v>
      </c>
      <c r="F1409" s="208">
        <f>58225+13485</f>
        <v>71710</v>
      </c>
      <c r="I1409" s="201" t="s">
        <v>650</v>
      </c>
    </row>
    <row r="1410" spans="1:9" ht="16.5" customHeight="1">
      <c r="A1410" s="575"/>
      <c r="B1410" s="1277"/>
      <c r="C1410" s="1278"/>
      <c r="D1410" s="578" t="s">
        <v>271</v>
      </c>
      <c r="E1410" s="579" t="s">
        <v>173</v>
      </c>
      <c r="F1410" s="208">
        <f>10275+2515</f>
        <v>12790</v>
      </c>
      <c r="I1410" s="201" t="s">
        <v>651</v>
      </c>
    </row>
    <row r="1411" spans="1:9" ht="17.100000000000001" customHeight="1">
      <c r="A1411" s="575"/>
      <c r="B1411" s="1277"/>
      <c r="C1411" s="1278"/>
      <c r="D1411" s="578" t="s">
        <v>410</v>
      </c>
      <c r="E1411" s="579" t="s">
        <v>258</v>
      </c>
      <c r="F1411" s="210">
        <v>126420</v>
      </c>
    </row>
    <row r="1412" spans="1:9" ht="17.100000000000001" customHeight="1">
      <c r="A1412" s="575"/>
      <c r="B1412" s="1277"/>
      <c r="C1412" s="1278"/>
      <c r="D1412" s="578" t="s">
        <v>298</v>
      </c>
      <c r="E1412" s="579" t="s">
        <v>258</v>
      </c>
      <c r="F1412" s="210">
        <v>23580</v>
      </c>
    </row>
    <row r="1413" spans="1:9" ht="16.5" customHeight="1">
      <c r="A1413" s="575"/>
      <c r="B1413" s="1277"/>
      <c r="C1413" s="1278"/>
      <c r="D1413" s="578" t="s">
        <v>415</v>
      </c>
      <c r="E1413" s="579" t="s">
        <v>175</v>
      </c>
      <c r="F1413" s="210">
        <f>1089620+240709</f>
        <v>1330329</v>
      </c>
      <c r="I1413" s="201" t="s">
        <v>652</v>
      </c>
    </row>
    <row r="1414" spans="1:9" ht="16.5" customHeight="1">
      <c r="A1414" s="575"/>
      <c r="B1414" s="1277"/>
      <c r="C1414" s="1278"/>
      <c r="D1414" s="578" t="s">
        <v>416</v>
      </c>
      <c r="E1414" s="579" t="s">
        <v>175</v>
      </c>
      <c r="F1414" s="210">
        <f>192286+44897</f>
        <v>237183</v>
      </c>
      <c r="I1414" s="201" t="s">
        <v>653</v>
      </c>
    </row>
    <row r="1415" spans="1:9" ht="17.100000000000001" customHeight="1">
      <c r="A1415" s="575"/>
      <c r="B1415" s="1277"/>
      <c r="C1415" s="1278"/>
      <c r="D1415" s="578" t="s">
        <v>233</v>
      </c>
      <c r="E1415" s="579" t="s">
        <v>177</v>
      </c>
      <c r="F1415" s="210">
        <f>68829+20417</f>
        <v>89246</v>
      </c>
      <c r="I1415" s="201" t="s">
        <v>654</v>
      </c>
    </row>
    <row r="1416" spans="1:9" ht="17.100000000000001" customHeight="1">
      <c r="A1416" s="575"/>
      <c r="B1416" s="1277"/>
      <c r="C1416" s="1278"/>
      <c r="D1416" s="578" t="s">
        <v>234</v>
      </c>
      <c r="E1416" s="579" t="s">
        <v>177</v>
      </c>
      <c r="F1416" s="210">
        <f>12146+3808</f>
        <v>15954</v>
      </c>
      <c r="I1416" s="201" t="s">
        <v>655</v>
      </c>
    </row>
    <row r="1417" spans="1:9" ht="17.100000000000001" customHeight="1">
      <c r="A1417" s="575"/>
      <c r="B1417" s="1277"/>
      <c r="C1417" s="1278"/>
      <c r="D1417" s="578" t="s">
        <v>235</v>
      </c>
      <c r="E1417" s="579" t="s">
        <v>179</v>
      </c>
      <c r="F1417" s="210">
        <v>30341</v>
      </c>
    </row>
    <row r="1418" spans="1:9" ht="17.100000000000001" customHeight="1">
      <c r="A1418" s="575"/>
      <c r="B1418" s="1277"/>
      <c r="C1418" s="1278"/>
      <c r="D1418" s="578" t="s">
        <v>236</v>
      </c>
      <c r="E1418" s="579" t="s">
        <v>179</v>
      </c>
      <c r="F1418" s="210">
        <v>5659</v>
      </c>
    </row>
    <row r="1419" spans="1:9" ht="17.100000000000001" customHeight="1">
      <c r="A1419" s="575"/>
      <c r="B1419" s="580"/>
      <c r="C1419" s="550"/>
      <c r="D1419" s="578" t="s">
        <v>420</v>
      </c>
      <c r="E1419" s="579" t="s">
        <v>187</v>
      </c>
      <c r="F1419" s="210">
        <f>3400+843</f>
        <v>4243</v>
      </c>
      <c r="I1419" s="201" t="s">
        <v>656</v>
      </c>
    </row>
    <row r="1420" spans="1:9" ht="17.100000000000001" customHeight="1">
      <c r="A1420" s="575"/>
      <c r="B1420" s="580"/>
      <c r="C1420" s="550"/>
      <c r="D1420" s="578" t="s">
        <v>421</v>
      </c>
      <c r="E1420" s="579" t="s">
        <v>187</v>
      </c>
      <c r="F1420" s="210">
        <f>600+157</f>
        <v>757</v>
      </c>
      <c r="I1420" s="201" t="s">
        <v>657</v>
      </c>
    </row>
    <row r="1421" spans="1:9" ht="17.100000000000001" customHeight="1">
      <c r="A1421" s="575"/>
      <c r="B1421" s="1277"/>
      <c r="C1421" s="1278"/>
      <c r="D1421" s="578" t="s">
        <v>237</v>
      </c>
      <c r="E1421" s="579" t="s">
        <v>189</v>
      </c>
      <c r="F1421" s="210">
        <f>195789+25200</f>
        <v>220989</v>
      </c>
      <c r="I1421" s="201" t="s">
        <v>658</v>
      </c>
    </row>
    <row r="1422" spans="1:9" ht="17.100000000000001" customHeight="1">
      <c r="A1422" s="575"/>
      <c r="B1422" s="1277"/>
      <c r="C1422" s="1278"/>
      <c r="D1422" s="578" t="s">
        <v>238</v>
      </c>
      <c r="E1422" s="579" t="s">
        <v>189</v>
      </c>
      <c r="F1422" s="210">
        <f>34551+4700</f>
        <v>39251</v>
      </c>
      <c r="I1422" s="201" t="s">
        <v>659</v>
      </c>
    </row>
    <row r="1423" spans="1:9" ht="17.100000000000001" customHeight="1">
      <c r="A1423" s="575"/>
      <c r="B1423" s="580"/>
      <c r="C1423" s="550"/>
      <c r="D1423" s="1277"/>
      <c r="E1423" s="1281"/>
      <c r="F1423" s="1282"/>
    </row>
    <row r="1424" spans="1:9" ht="17.100000000000001" customHeight="1">
      <c r="A1424" s="575"/>
      <c r="B1424" s="580"/>
      <c r="C1424" s="550"/>
      <c r="D1424" s="1312" t="s">
        <v>202</v>
      </c>
      <c r="E1424" s="1313"/>
      <c r="F1424" s="207">
        <f>F1425</f>
        <v>3532000</v>
      </c>
    </row>
    <row r="1425" spans="1:6" ht="17.100000000000001" customHeight="1">
      <c r="A1425" s="575"/>
      <c r="B1425" s="580"/>
      <c r="C1425" s="550"/>
      <c r="D1425" s="1285" t="s">
        <v>203</v>
      </c>
      <c r="E1425" s="1286"/>
      <c r="F1425" s="210">
        <f>SUM(F1426:F1431)</f>
        <v>3532000</v>
      </c>
    </row>
    <row r="1426" spans="1:6" ht="17.100000000000001" customHeight="1">
      <c r="A1426" s="575"/>
      <c r="B1426" s="1277"/>
      <c r="C1426" s="1278"/>
      <c r="D1426" s="578" t="s">
        <v>204</v>
      </c>
      <c r="E1426" s="579" t="s">
        <v>205</v>
      </c>
      <c r="F1426" s="210">
        <v>3512000</v>
      </c>
    </row>
    <row r="1427" spans="1:6" ht="17.100000000000001" hidden="1" customHeight="1">
      <c r="A1427" s="575"/>
      <c r="B1427" s="580"/>
      <c r="C1427" s="550"/>
      <c r="D1427" s="578" t="s">
        <v>660</v>
      </c>
      <c r="E1427" s="579" t="s">
        <v>205</v>
      </c>
      <c r="F1427" s="210">
        <v>0</v>
      </c>
    </row>
    <row r="1428" spans="1:6" ht="17.100000000000001" hidden="1" customHeight="1">
      <c r="A1428" s="575"/>
      <c r="B1428" s="580"/>
      <c r="C1428" s="550"/>
      <c r="D1428" s="578" t="s">
        <v>253</v>
      </c>
      <c r="E1428" s="579" t="s">
        <v>205</v>
      </c>
      <c r="F1428" s="210">
        <v>0</v>
      </c>
    </row>
    <row r="1429" spans="1:6" ht="17.100000000000001" hidden="1" customHeight="1">
      <c r="A1429" s="575"/>
      <c r="B1429" s="580"/>
      <c r="C1429" s="550"/>
      <c r="D1429" s="578" t="s">
        <v>245</v>
      </c>
      <c r="E1429" s="579" t="s">
        <v>246</v>
      </c>
      <c r="F1429" s="210">
        <v>0</v>
      </c>
    </row>
    <row r="1430" spans="1:6" ht="17.100000000000001" customHeight="1">
      <c r="A1430" s="575"/>
      <c r="B1430" s="580"/>
      <c r="C1430" s="550"/>
      <c r="D1430" s="578" t="s">
        <v>273</v>
      </c>
      <c r="E1430" s="579" t="s">
        <v>246</v>
      </c>
      <c r="F1430" s="210">
        <v>17000</v>
      </c>
    </row>
    <row r="1431" spans="1:6" ht="17.100000000000001" customHeight="1">
      <c r="A1431" s="575"/>
      <c r="B1431" s="580"/>
      <c r="C1431" s="550"/>
      <c r="D1431" s="578" t="s">
        <v>274</v>
      </c>
      <c r="E1431" s="579" t="s">
        <v>246</v>
      </c>
      <c r="F1431" s="210">
        <v>3000</v>
      </c>
    </row>
    <row r="1432" spans="1:6" ht="17.100000000000001" customHeight="1">
      <c r="A1432" s="575"/>
      <c r="B1432" s="580"/>
      <c r="C1432" s="550"/>
      <c r="D1432" s="1277"/>
      <c r="E1432" s="1291"/>
      <c r="F1432" s="1292"/>
    </row>
    <row r="1433" spans="1:6" ht="17.100000000000001" customHeight="1">
      <c r="A1433" s="575"/>
      <c r="B1433" s="580"/>
      <c r="C1433" s="550"/>
      <c r="D1433" s="1279" t="s">
        <v>206</v>
      </c>
      <c r="E1433" s="1311"/>
      <c r="F1433" s="210">
        <f>F1434+F1435+F1436+F1437</f>
        <v>20000</v>
      </c>
    </row>
    <row r="1434" spans="1:6" ht="17.100000000000001" hidden="1" customHeight="1">
      <c r="A1434" s="575"/>
      <c r="B1434" s="580"/>
      <c r="C1434" s="550"/>
      <c r="D1434" s="587" t="s">
        <v>660</v>
      </c>
      <c r="E1434" s="588" t="s">
        <v>205</v>
      </c>
      <c r="F1434" s="210"/>
    </row>
    <row r="1435" spans="1:6" ht="17.100000000000001" hidden="1" customHeight="1">
      <c r="A1435" s="575"/>
      <c r="B1435" s="580"/>
      <c r="C1435" s="550"/>
      <c r="D1435" s="587" t="s">
        <v>253</v>
      </c>
      <c r="E1435" s="602" t="s">
        <v>205</v>
      </c>
      <c r="F1435" s="210"/>
    </row>
    <row r="1436" spans="1:6" ht="17.100000000000001" customHeight="1">
      <c r="A1436" s="575"/>
      <c r="B1436" s="580"/>
      <c r="C1436" s="550"/>
      <c r="D1436" s="587" t="s">
        <v>273</v>
      </c>
      <c r="E1436" s="602" t="s">
        <v>246</v>
      </c>
      <c r="F1436" s="210">
        <v>17000</v>
      </c>
    </row>
    <row r="1437" spans="1:6" ht="17.100000000000001" customHeight="1">
      <c r="A1437" s="575"/>
      <c r="B1437" s="580"/>
      <c r="C1437" s="550"/>
      <c r="D1437" s="578" t="s">
        <v>274</v>
      </c>
      <c r="E1437" s="579" t="s">
        <v>246</v>
      </c>
      <c r="F1437" s="210">
        <v>3000</v>
      </c>
    </row>
    <row r="1438" spans="1:6" ht="17.100000000000001" customHeight="1">
      <c r="A1438" s="575"/>
      <c r="B1438" s="1265" t="s">
        <v>661</v>
      </c>
      <c r="C1438" s="1266"/>
      <c r="D1438" s="576"/>
      <c r="E1438" s="577" t="s">
        <v>129</v>
      </c>
      <c r="F1438" s="206">
        <f>F1439</f>
        <v>7815429</v>
      </c>
    </row>
    <row r="1439" spans="1:6" ht="17.100000000000001" customHeight="1">
      <c r="A1439" s="575"/>
      <c r="B1439" s="1267"/>
      <c r="C1439" s="1268"/>
      <c r="D1439" s="1271" t="s">
        <v>146</v>
      </c>
      <c r="E1439" s="1272"/>
      <c r="F1439" s="207">
        <f>F1440+F1444</f>
        <v>7815429</v>
      </c>
    </row>
    <row r="1440" spans="1:6" ht="17.100000000000001" customHeight="1">
      <c r="A1440" s="575"/>
      <c r="B1440" s="1269"/>
      <c r="C1440" s="1270"/>
      <c r="D1440" s="1273" t="s">
        <v>209</v>
      </c>
      <c r="E1440" s="1283"/>
      <c r="F1440" s="210">
        <f>F1441+F1442</f>
        <v>7815429</v>
      </c>
    </row>
    <row r="1441" spans="1:9" ht="39" customHeight="1">
      <c r="A1441" s="575"/>
      <c r="B1441" s="1269"/>
      <c r="C1441" s="1270"/>
      <c r="D1441" s="583" t="s">
        <v>279</v>
      </c>
      <c r="E1441" s="595" t="s">
        <v>280</v>
      </c>
      <c r="F1441" s="585">
        <f>5288442+501000</f>
        <v>5789442</v>
      </c>
      <c r="I1441" s="201" t="s">
        <v>662</v>
      </c>
    </row>
    <row r="1442" spans="1:9" ht="51">
      <c r="A1442" s="575"/>
      <c r="B1442" s="1269"/>
      <c r="C1442" s="1288"/>
      <c r="D1442" s="211" t="s">
        <v>282</v>
      </c>
      <c r="E1442" s="534" t="s">
        <v>467</v>
      </c>
      <c r="F1442" s="210">
        <f>2021987+4000</f>
        <v>2025987</v>
      </c>
      <c r="I1442" s="201" t="s">
        <v>663</v>
      </c>
    </row>
    <row r="1443" spans="1:9" ht="17.100000000000001" hidden="1" customHeight="1">
      <c r="A1443" s="575"/>
      <c r="B1443" s="1269"/>
      <c r="C1443" s="1270"/>
      <c r="D1443" s="1277"/>
      <c r="E1443" s="1281"/>
      <c r="F1443" s="1282"/>
    </row>
    <row r="1444" spans="1:9" ht="17.100000000000001" hidden="1" customHeight="1">
      <c r="A1444" s="575"/>
      <c r="B1444" s="1269"/>
      <c r="C1444" s="1270"/>
      <c r="D1444" s="1273" t="s">
        <v>213</v>
      </c>
      <c r="E1444" s="1283"/>
      <c r="F1444" s="210">
        <f>SUM(F1445:F1482)</f>
        <v>0</v>
      </c>
    </row>
    <row r="1445" spans="1:9" ht="17.100000000000001" hidden="1" customHeight="1">
      <c r="A1445" s="575"/>
      <c r="B1445" s="1277"/>
      <c r="C1445" s="1278"/>
      <c r="D1445" s="578" t="s">
        <v>528</v>
      </c>
      <c r="E1445" s="579" t="s">
        <v>192</v>
      </c>
      <c r="F1445" s="210">
        <v>0</v>
      </c>
    </row>
    <row r="1446" spans="1:9" ht="17.100000000000001" hidden="1" customHeight="1">
      <c r="A1446" s="575"/>
      <c r="B1446" s="1277"/>
      <c r="C1446" s="1278"/>
      <c r="D1446" s="578" t="s">
        <v>390</v>
      </c>
      <c r="E1446" s="579" t="s">
        <v>192</v>
      </c>
      <c r="F1446" s="210">
        <v>0</v>
      </c>
    </row>
    <row r="1447" spans="1:9" ht="17.100000000000001" hidden="1" customHeight="1">
      <c r="A1447" s="575"/>
      <c r="B1447" s="1277"/>
      <c r="C1447" s="1278"/>
      <c r="D1447" s="578" t="s">
        <v>335</v>
      </c>
      <c r="E1447" s="579" t="s">
        <v>150</v>
      </c>
      <c r="F1447" s="210">
        <v>0</v>
      </c>
    </row>
    <row r="1448" spans="1:9" ht="17.100000000000001" hidden="1" customHeight="1">
      <c r="A1448" s="575"/>
      <c r="B1448" s="1277"/>
      <c r="C1448" s="1278"/>
      <c r="D1448" s="578" t="s">
        <v>215</v>
      </c>
      <c r="E1448" s="579" t="s">
        <v>150</v>
      </c>
      <c r="F1448" s="210">
        <v>0</v>
      </c>
    </row>
    <row r="1449" spans="1:9" ht="17.100000000000001" hidden="1" customHeight="1">
      <c r="A1449" s="575"/>
      <c r="B1449" s="1277"/>
      <c r="C1449" s="1278"/>
      <c r="D1449" s="578" t="s">
        <v>428</v>
      </c>
      <c r="E1449" s="579" t="s">
        <v>152</v>
      </c>
      <c r="F1449" s="210">
        <v>0</v>
      </c>
    </row>
    <row r="1450" spans="1:9" ht="17.100000000000001" hidden="1" customHeight="1">
      <c r="A1450" s="575"/>
      <c r="B1450" s="1277"/>
      <c r="C1450" s="1278"/>
      <c r="D1450" s="578" t="s">
        <v>217</v>
      </c>
      <c r="E1450" s="579" t="s">
        <v>152</v>
      </c>
      <c r="F1450" s="210">
        <v>0</v>
      </c>
    </row>
    <row r="1451" spans="1:9" ht="17.100000000000001" hidden="1" customHeight="1">
      <c r="A1451" s="575"/>
      <c r="B1451" s="1277"/>
      <c r="C1451" s="1278"/>
      <c r="D1451" s="578" t="s">
        <v>336</v>
      </c>
      <c r="E1451" s="579" t="s">
        <v>154</v>
      </c>
      <c r="F1451" s="210">
        <v>0</v>
      </c>
    </row>
    <row r="1452" spans="1:9" ht="17.100000000000001" hidden="1" customHeight="1">
      <c r="A1452" s="575"/>
      <c r="B1452" s="1277"/>
      <c r="C1452" s="1278"/>
      <c r="D1452" s="578" t="s">
        <v>219</v>
      </c>
      <c r="E1452" s="579" t="s">
        <v>154</v>
      </c>
      <c r="F1452" s="210">
        <v>0</v>
      </c>
    </row>
    <row r="1453" spans="1:9" ht="17.100000000000001" hidden="1" customHeight="1">
      <c r="A1453" s="575"/>
      <c r="B1453" s="1277"/>
      <c r="C1453" s="1278"/>
      <c r="D1453" s="578" t="s">
        <v>337</v>
      </c>
      <c r="E1453" s="579" t="s">
        <v>156</v>
      </c>
      <c r="F1453" s="210">
        <v>0</v>
      </c>
    </row>
    <row r="1454" spans="1:9" ht="17.100000000000001" hidden="1" customHeight="1">
      <c r="A1454" s="575"/>
      <c r="B1454" s="1277"/>
      <c r="C1454" s="1278"/>
      <c r="D1454" s="578" t="s">
        <v>221</v>
      </c>
      <c r="E1454" s="579" t="s">
        <v>156</v>
      </c>
      <c r="F1454" s="210">
        <v>0</v>
      </c>
    </row>
    <row r="1455" spans="1:9" ht="17.100000000000001" hidden="1" customHeight="1">
      <c r="A1455" s="575"/>
      <c r="B1455" s="1277"/>
      <c r="C1455" s="1278"/>
      <c r="D1455" s="578" t="s">
        <v>368</v>
      </c>
      <c r="E1455" s="579" t="s">
        <v>158</v>
      </c>
      <c r="F1455" s="210">
        <v>0</v>
      </c>
    </row>
    <row r="1456" spans="1:9" ht="17.100000000000001" hidden="1" customHeight="1">
      <c r="A1456" s="575"/>
      <c r="B1456" s="1277"/>
      <c r="C1456" s="1278"/>
      <c r="D1456" s="578" t="s">
        <v>223</v>
      </c>
      <c r="E1456" s="579" t="s">
        <v>158</v>
      </c>
      <c r="F1456" s="210">
        <v>0</v>
      </c>
    </row>
    <row r="1457" spans="1:6" ht="17.100000000000001" hidden="1" customHeight="1">
      <c r="A1457" s="575"/>
      <c r="B1457" s="1277"/>
      <c r="C1457" s="1278"/>
      <c r="D1457" s="578" t="s">
        <v>369</v>
      </c>
      <c r="E1457" s="579" t="s">
        <v>163</v>
      </c>
      <c r="F1457" s="210">
        <v>0</v>
      </c>
    </row>
    <row r="1458" spans="1:6" ht="17.100000000000001" hidden="1" customHeight="1">
      <c r="A1458" s="575"/>
      <c r="B1458" s="1277"/>
      <c r="C1458" s="1278"/>
      <c r="D1458" s="578" t="s">
        <v>228</v>
      </c>
      <c r="E1458" s="579" t="s">
        <v>163</v>
      </c>
      <c r="F1458" s="210">
        <v>0</v>
      </c>
    </row>
    <row r="1459" spans="1:6" ht="17.100000000000001" hidden="1" customHeight="1">
      <c r="A1459" s="575"/>
      <c r="B1459" s="1277"/>
      <c r="C1459" s="1278"/>
      <c r="D1459" s="578" t="s">
        <v>429</v>
      </c>
      <c r="E1459" s="579" t="s">
        <v>165</v>
      </c>
      <c r="F1459" s="210">
        <v>0</v>
      </c>
    </row>
    <row r="1460" spans="1:6" ht="17.100000000000001" hidden="1" customHeight="1">
      <c r="A1460" s="575"/>
      <c r="B1460" s="1277"/>
      <c r="C1460" s="1278"/>
      <c r="D1460" s="578" t="s">
        <v>399</v>
      </c>
      <c r="E1460" s="579" t="s">
        <v>165</v>
      </c>
      <c r="F1460" s="210">
        <v>0</v>
      </c>
    </row>
    <row r="1461" spans="1:6" ht="17.100000000000001" hidden="1" customHeight="1">
      <c r="A1461" s="575"/>
      <c r="B1461" s="580"/>
      <c r="C1461" s="550"/>
      <c r="D1461" s="578" t="s">
        <v>664</v>
      </c>
      <c r="E1461" s="579" t="s">
        <v>167</v>
      </c>
      <c r="F1461" s="210">
        <v>0</v>
      </c>
    </row>
    <row r="1462" spans="1:6" ht="17.100000000000001" hidden="1" customHeight="1">
      <c r="A1462" s="575"/>
      <c r="B1462" s="580"/>
      <c r="C1462" s="550"/>
      <c r="D1462" s="578" t="s">
        <v>230</v>
      </c>
      <c r="E1462" s="579" t="s">
        <v>167</v>
      </c>
      <c r="F1462" s="210">
        <v>0</v>
      </c>
    </row>
    <row r="1463" spans="1:6" ht="17.100000000000001" hidden="1" customHeight="1">
      <c r="A1463" s="575"/>
      <c r="B1463" s="1277"/>
      <c r="C1463" s="1278"/>
      <c r="D1463" s="578" t="s">
        <v>531</v>
      </c>
      <c r="E1463" s="579" t="s">
        <v>169</v>
      </c>
      <c r="F1463" s="210">
        <v>0</v>
      </c>
    </row>
    <row r="1464" spans="1:6" ht="17.100000000000001" hidden="1" customHeight="1">
      <c r="A1464" s="575"/>
      <c r="B1464" s="1277"/>
      <c r="C1464" s="1278"/>
      <c r="D1464" s="578" t="s">
        <v>401</v>
      </c>
      <c r="E1464" s="579" t="s">
        <v>169</v>
      </c>
      <c r="F1464" s="210">
        <v>0</v>
      </c>
    </row>
    <row r="1465" spans="1:6" ht="17.100000000000001" hidden="1" customHeight="1">
      <c r="A1465" s="575"/>
      <c r="B1465" s="1277"/>
      <c r="C1465" s="1278"/>
      <c r="D1465" s="578" t="s">
        <v>338</v>
      </c>
      <c r="E1465" s="579" t="s">
        <v>171</v>
      </c>
      <c r="F1465" s="210">
        <v>0</v>
      </c>
    </row>
    <row r="1466" spans="1:6" ht="17.100000000000001" hidden="1" customHeight="1">
      <c r="A1466" s="575"/>
      <c r="B1466" s="1277"/>
      <c r="C1466" s="1278"/>
      <c r="D1466" s="578" t="s">
        <v>232</v>
      </c>
      <c r="E1466" s="579" t="s">
        <v>171</v>
      </c>
      <c r="F1466" s="210">
        <v>0</v>
      </c>
    </row>
    <row r="1467" spans="1:6" ht="17.100000000000001" hidden="1" customHeight="1">
      <c r="A1467" s="575"/>
      <c r="B1467" s="1277"/>
      <c r="C1467" s="1278"/>
      <c r="D1467" s="578" t="s">
        <v>430</v>
      </c>
      <c r="E1467" s="579" t="s">
        <v>267</v>
      </c>
      <c r="F1467" s="210">
        <v>0</v>
      </c>
    </row>
    <row r="1468" spans="1:6" ht="17.100000000000001" hidden="1" customHeight="1">
      <c r="A1468" s="575"/>
      <c r="B1468" s="1277"/>
      <c r="C1468" s="1278"/>
      <c r="D1468" s="578" t="s">
        <v>269</v>
      </c>
      <c r="E1468" s="579" t="s">
        <v>267</v>
      </c>
      <c r="F1468" s="210">
        <v>0</v>
      </c>
    </row>
    <row r="1469" spans="1:6" ht="27.75" hidden="1" customHeight="1">
      <c r="A1469" s="575"/>
      <c r="B1469" s="1277"/>
      <c r="C1469" s="1278"/>
      <c r="D1469" s="578" t="s">
        <v>532</v>
      </c>
      <c r="E1469" s="579" t="s">
        <v>199</v>
      </c>
      <c r="F1469" s="210">
        <v>0</v>
      </c>
    </row>
    <row r="1470" spans="1:6" ht="26.25" hidden="1" customHeight="1">
      <c r="A1470" s="575"/>
      <c r="B1470" s="1277"/>
      <c r="C1470" s="1278"/>
      <c r="D1470" s="578" t="s">
        <v>271</v>
      </c>
      <c r="E1470" s="579" t="s">
        <v>199</v>
      </c>
      <c r="F1470" s="210">
        <v>0</v>
      </c>
    </row>
    <row r="1471" spans="1:6" ht="27.75" hidden="1" customHeight="1">
      <c r="A1471" s="575"/>
      <c r="B1471" s="1277"/>
      <c r="C1471" s="1278"/>
      <c r="D1471" s="578" t="s">
        <v>431</v>
      </c>
      <c r="E1471" s="579" t="s">
        <v>376</v>
      </c>
      <c r="F1471" s="210">
        <v>0</v>
      </c>
    </row>
    <row r="1472" spans="1:6" ht="24" hidden="1" customHeight="1">
      <c r="A1472" s="575"/>
      <c r="B1472" s="1277"/>
      <c r="C1472" s="1278"/>
      <c r="D1472" s="578" t="s">
        <v>432</v>
      </c>
      <c r="E1472" s="579" t="s">
        <v>376</v>
      </c>
      <c r="F1472" s="210">
        <v>0</v>
      </c>
    </row>
    <row r="1473" spans="1:6" ht="20.100000000000001" hidden="1" customHeight="1">
      <c r="A1473" s="575"/>
      <c r="B1473" s="1277"/>
      <c r="C1473" s="1278"/>
      <c r="D1473" s="578" t="s">
        <v>433</v>
      </c>
      <c r="E1473" s="579" t="s">
        <v>175</v>
      </c>
      <c r="F1473" s="210">
        <v>0</v>
      </c>
    </row>
    <row r="1474" spans="1:6" ht="20.100000000000001" hidden="1" customHeight="1">
      <c r="A1474" s="575"/>
      <c r="B1474" s="1277"/>
      <c r="C1474" s="1278"/>
      <c r="D1474" s="578" t="s">
        <v>416</v>
      </c>
      <c r="E1474" s="579" t="s">
        <v>175</v>
      </c>
      <c r="F1474" s="210">
        <v>0</v>
      </c>
    </row>
    <row r="1475" spans="1:6" ht="17.100000000000001" hidden="1" customHeight="1">
      <c r="A1475" s="575"/>
      <c r="B1475" s="1277"/>
      <c r="C1475" s="1278"/>
      <c r="D1475" s="578" t="s">
        <v>339</v>
      </c>
      <c r="E1475" s="579" t="s">
        <v>177</v>
      </c>
      <c r="F1475" s="210">
        <v>0</v>
      </c>
    </row>
    <row r="1476" spans="1:6" ht="17.100000000000001" hidden="1" customHeight="1">
      <c r="A1476" s="575"/>
      <c r="B1476" s="1277"/>
      <c r="C1476" s="1278"/>
      <c r="D1476" s="578" t="s">
        <v>234</v>
      </c>
      <c r="E1476" s="579" t="s">
        <v>177</v>
      </c>
      <c r="F1476" s="210">
        <v>0</v>
      </c>
    </row>
    <row r="1477" spans="1:6" ht="17.100000000000001" hidden="1" customHeight="1">
      <c r="A1477" s="575"/>
      <c r="B1477" s="1277"/>
      <c r="C1477" s="1278"/>
      <c r="D1477" s="578" t="s">
        <v>665</v>
      </c>
      <c r="E1477" s="579" t="s">
        <v>179</v>
      </c>
      <c r="F1477" s="210">
        <v>0</v>
      </c>
    </row>
    <row r="1478" spans="1:6" ht="17.100000000000001" hidden="1" customHeight="1">
      <c r="A1478" s="575"/>
      <c r="B1478" s="1277"/>
      <c r="C1478" s="1278"/>
      <c r="D1478" s="578" t="s">
        <v>236</v>
      </c>
      <c r="E1478" s="579" t="s">
        <v>179</v>
      </c>
      <c r="F1478" s="210">
        <v>0</v>
      </c>
    </row>
    <row r="1479" spans="1:6" ht="17.100000000000001" hidden="1" customHeight="1">
      <c r="A1479" s="575"/>
      <c r="B1479" s="1277"/>
      <c r="C1479" s="1278"/>
      <c r="D1479" s="578" t="s">
        <v>434</v>
      </c>
      <c r="E1479" s="579" t="s">
        <v>181</v>
      </c>
      <c r="F1479" s="210">
        <v>0</v>
      </c>
    </row>
    <row r="1480" spans="1:6" ht="17.100000000000001" hidden="1" customHeight="1">
      <c r="A1480" s="575"/>
      <c r="B1480" s="1277"/>
      <c r="C1480" s="1278"/>
      <c r="D1480" s="578" t="s">
        <v>435</v>
      </c>
      <c r="E1480" s="579" t="s">
        <v>181</v>
      </c>
      <c r="F1480" s="210">
        <v>0</v>
      </c>
    </row>
    <row r="1481" spans="1:6" ht="17.100000000000001" hidden="1" customHeight="1">
      <c r="A1481" s="575"/>
      <c r="B1481" s="580"/>
      <c r="C1481" s="550"/>
      <c r="D1481" s="578" t="s">
        <v>542</v>
      </c>
      <c r="E1481" s="579" t="s">
        <v>187</v>
      </c>
      <c r="F1481" s="210">
        <v>0</v>
      </c>
    </row>
    <row r="1482" spans="1:6" ht="17.100000000000001" hidden="1" customHeight="1">
      <c r="A1482" s="575"/>
      <c r="B1482" s="580"/>
      <c r="C1482" s="550"/>
      <c r="D1482" s="578" t="s">
        <v>421</v>
      </c>
      <c r="E1482" s="579" t="s">
        <v>187</v>
      </c>
      <c r="F1482" s="210">
        <v>0</v>
      </c>
    </row>
    <row r="1483" spans="1:6" ht="17.100000000000001" customHeight="1">
      <c r="A1483" s="572" t="s">
        <v>10</v>
      </c>
      <c r="B1483" s="1263"/>
      <c r="C1483" s="1264"/>
      <c r="D1483" s="573"/>
      <c r="E1483" s="574" t="s">
        <v>666</v>
      </c>
      <c r="F1483" s="205">
        <f>F1484+F1504+F1524+F1528</f>
        <v>1450695</v>
      </c>
    </row>
    <row r="1484" spans="1:6" ht="17.100000000000001" customHeight="1">
      <c r="A1484" s="575"/>
      <c r="B1484" s="1265" t="s">
        <v>667</v>
      </c>
      <c r="C1484" s="1266"/>
      <c r="D1484" s="576"/>
      <c r="E1484" s="577" t="s">
        <v>668</v>
      </c>
      <c r="F1484" s="206">
        <f>F1485</f>
        <v>778445</v>
      </c>
    </row>
    <row r="1485" spans="1:6" ht="17.100000000000001" customHeight="1">
      <c r="A1485" s="575"/>
      <c r="B1485" s="580"/>
      <c r="C1485" s="550"/>
      <c r="D1485" s="1271" t="s">
        <v>146</v>
      </c>
      <c r="E1485" s="1272"/>
      <c r="F1485" s="207">
        <f>F1486+F1502</f>
        <v>778445</v>
      </c>
    </row>
    <row r="1486" spans="1:6" ht="17.100000000000001" customHeight="1">
      <c r="A1486" s="575"/>
      <c r="B1486" s="580"/>
      <c r="C1486" s="550"/>
      <c r="D1486" s="1452" t="s">
        <v>147</v>
      </c>
      <c r="E1486" s="1453"/>
      <c r="F1486" s="210">
        <f>F1487+F1493</f>
        <v>774991</v>
      </c>
    </row>
    <row r="1487" spans="1:6" ht="17.100000000000001" customHeight="1">
      <c r="A1487" s="575"/>
      <c r="B1487" s="580"/>
      <c r="C1487" s="550"/>
      <c r="D1487" s="1458" t="s">
        <v>148</v>
      </c>
      <c r="E1487" s="1459"/>
      <c r="F1487" s="210">
        <f>SUM(F1488:F1491)</f>
        <v>651226</v>
      </c>
    </row>
    <row r="1488" spans="1:6" ht="17.100000000000001" customHeight="1">
      <c r="A1488" s="575"/>
      <c r="B1488" s="1277"/>
      <c r="C1488" s="1278"/>
      <c r="D1488" s="578" t="s">
        <v>149</v>
      </c>
      <c r="E1488" s="579" t="s">
        <v>150</v>
      </c>
      <c r="F1488" s="210">
        <v>504407</v>
      </c>
    </row>
    <row r="1489" spans="1:6" ht="17.100000000000001" customHeight="1">
      <c r="A1489" s="575"/>
      <c r="B1489" s="1277"/>
      <c r="C1489" s="1278"/>
      <c r="D1489" s="578" t="s">
        <v>151</v>
      </c>
      <c r="E1489" s="579" t="s">
        <v>152</v>
      </c>
      <c r="F1489" s="210">
        <v>42005</v>
      </c>
    </row>
    <row r="1490" spans="1:6" ht="17.100000000000001" customHeight="1">
      <c r="A1490" s="575"/>
      <c r="B1490" s="1277"/>
      <c r="C1490" s="1278"/>
      <c r="D1490" s="578" t="s">
        <v>153</v>
      </c>
      <c r="E1490" s="579" t="s">
        <v>154</v>
      </c>
      <c r="F1490" s="210">
        <v>91739</v>
      </c>
    </row>
    <row r="1491" spans="1:6" ht="17.100000000000001" customHeight="1">
      <c r="A1491" s="575"/>
      <c r="B1491" s="1277"/>
      <c r="C1491" s="1278"/>
      <c r="D1491" s="578" t="s">
        <v>155</v>
      </c>
      <c r="E1491" s="579" t="s">
        <v>156</v>
      </c>
      <c r="F1491" s="210">
        <v>13075</v>
      </c>
    </row>
    <row r="1492" spans="1:6" ht="17.100000000000001" customHeight="1">
      <c r="A1492" s="575"/>
      <c r="B1492" s="580"/>
      <c r="C1492" s="550"/>
      <c r="D1492" s="1277"/>
      <c r="E1492" s="1281"/>
      <c r="F1492" s="1282"/>
    </row>
    <row r="1493" spans="1:6" ht="17.100000000000001" customHeight="1">
      <c r="A1493" s="575"/>
      <c r="B1493" s="580"/>
      <c r="C1493" s="550"/>
      <c r="D1493" s="1279" t="s">
        <v>159</v>
      </c>
      <c r="E1493" s="1280"/>
      <c r="F1493" s="210">
        <f>SUM(F1494:F1500)</f>
        <v>123765</v>
      </c>
    </row>
    <row r="1494" spans="1:6" ht="17.100000000000001" customHeight="1">
      <c r="A1494" s="575"/>
      <c r="B1494" s="1277"/>
      <c r="C1494" s="1278"/>
      <c r="D1494" s="578" t="s">
        <v>162</v>
      </c>
      <c r="E1494" s="579" t="s">
        <v>163</v>
      </c>
      <c r="F1494" s="210">
        <f>53538</f>
        <v>53538</v>
      </c>
    </row>
    <row r="1495" spans="1:6" ht="17.100000000000001" customHeight="1">
      <c r="A1495" s="575"/>
      <c r="B1495" s="1277"/>
      <c r="C1495" s="1278"/>
      <c r="D1495" s="578" t="s">
        <v>164</v>
      </c>
      <c r="E1495" s="579" t="s">
        <v>165</v>
      </c>
      <c r="F1495" s="210">
        <v>37259</v>
      </c>
    </row>
    <row r="1496" spans="1:6" ht="17.100000000000001" customHeight="1">
      <c r="A1496" s="575"/>
      <c r="B1496" s="1277"/>
      <c r="C1496" s="1278"/>
      <c r="D1496" s="578" t="s">
        <v>168</v>
      </c>
      <c r="E1496" s="579" t="s">
        <v>169</v>
      </c>
      <c r="F1496" s="210">
        <v>1530</v>
      </c>
    </row>
    <row r="1497" spans="1:6" ht="17.100000000000001" customHeight="1">
      <c r="A1497" s="575"/>
      <c r="B1497" s="1277"/>
      <c r="C1497" s="1278"/>
      <c r="D1497" s="578" t="s">
        <v>170</v>
      </c>
      <c r="E1497" s="579" t="s">
        <v>171</v>
      </c>
      <c r="F1497" s="210">
        <f>2820</f>
        <v>2820</v>
      </c>
    </row>
    <row r="1498" spans="1:6" ht="16.5" customHeight="1">
      <c r="A1498" s="575"/>
      <c r="B1498" s="1277"/>
      <c r="C1498" s="1278"/>
      <c r="D1498" s="578" t="s">
        <v>172</v>
      </c>
      <c r="E1498" s="579" t="s">
        <v>358</v>
      </c>
      <c r="F1498" s="210">
        <f>525</f>
        <v>525</v>
      </c>
    </row>
    <row r="1499" spans="1:6" ht="17.100000000000001" customHeight="1">
      <c r="A1499" s="575"/>
      <c r="B1499" s="1277"/>
      <c r="C1499" s="1278"/>
      <c r="D1499" s="583" t="s">
        <v>180</v>
      </c>
      <c r="E1499" s="584" t="s">
        <v>181</v>
      </c>
      <c r="F1499" s="210">
        <v>24301</v>
      </c>
    </row>
    <row r="1500" spans="1:6" ht="17.100000000000001" customHeight="1">
      <c r="A1500" s="575"/>
      <c r="B1500" s="1277"/>
      <c r="C1500" s="1281"/>
      <c r="D1500" s="211" t="s">
        <v>186</v>
      </c>
      <c r="E1500" s="559" t="s">
        <v>669</v>
      </c>
      <c r="F1500" s="210">
        <v>3792</v>
      </c>
    </row>
    <row r="1501" spans="1:6" ht="17.100000000000001" customHeight="1">
      <c r="A1501" s="575"/>
      <c r="B1501" s="1277"/>
      <c r="C1501" s="1278"/>
      <c r="D1501" s="1277"/>
      <c r="E1501" s="1281"/>
      <c r="F1501" s="1282"/>
    </row>
    <row r="1502" spans="1:6" ht="17.100000000000001" customHeight="1">
      <c r="A1502" s="575"/>
      <c r="B1502" s="1277"/>
      <c r="C1502" s="1278"/>
      <c r="D1502" s="1285" t="s">
        <v>190</v>
      </c>
      <c r="E1502" s="1286"/>
      <c r="F1502" s="210">
        <f>F1503</f>
        <v>3454</v>
      </c>
    </row>
    <row r="1503" spans="1:6" ht="17.100000000000001" customHeight="1">
      <c r="A1503" s="575"/>
      <c r="B1503" s="1303"/>
      <c r="C1503" s="1320"/>
      <c r="D1503" s="578" t="s">
        <v>191</v>
      </c>
      <c r="E1503" s="579" t="s">
        <v>192</v>
      </c>
      <c r="F1503" s="210">
        <f>3454</f>
        <v>3454</v>
      </c>
    </row>
    <row r="1504" spans="1:6" ht="17.100000000000001" customHeight="1">
      <c r="A1504" s="575"/>
      <c r="B1504" s="1265" t="s">
        <v>670</v>
      </c>
      <c r="C1504" s="1266"/>
      <c r="D1504" s="576"/>
      <c r="E1504" s="577" t="s">
        <v>671</v>
      </c>
      <c r="F1504" s="206">
        <f>F1505</f>
        <v>272250</v>
      </c>
    </row>
    <row r="1505" spans="1:6" ht="17.100000000000001" customHeight="1">
      <c r="A1505" s="575"/>
      <c r="B1505" s="1267"/>
      <c r="C1505" s="1268"/>
      <c r="D1505" s="1271" t="s">
        <v>146</v>
      </c>
      <c r="E1505" s="1272"/>
      <c r="F1505" s="207">
        <f>F1506</f>
        <v>272250</v>
      </c>
    </row>
    <row r="1506" spans="1:6" ht="17.100000000000001" customHeight="1">
      <c r="A1506" s="575"/>
      <c r="B1506" s="1269"/>
      <c r="C1506" s="1270"/>
      <c r="D1506" s="1273" t="s">
        <v>213</v>
      </c>
      <c r="E1506" s="1283"/>
      <c r="F1506" s="210">
        <f>SUM(F1507:F1523)</f>
        <v>272250</v>
      </c>
    </row>
    <row r="1507" spans="1:6" ht="17.100000000000001" hidden="1" customHeight="1">
      <c r="A1507" s="575"/>
      <c r="B1507" s="1269"/>
      <c r="C1507" s="1270"/>
      <c r="D1507" s="578" t="s">
        <v>672</v>
      </c>
      <c r="E1507" s="579" t="s">
        <v>522</v>
      </c>
      <c r="F1507" s="210">
        <v>0</v>
      </c>
    </row>
    <row r="1508" spans="1:6" ht="17.100000000000001" customHeight="1">
      <c r="A1508" s="575"/>
      <c r="B1508" s="1277"/>
      <c r="C1508" s="1278"/>
      <c r="D1508" s="578" t="s">
        <v>673</v>
      </c>
      <c r="E1508" s="579" t="s">
        <v>522</v>
      </c>
      <c r="F1508" s="210">
        <v>250000</v>
      </c>
    </row>
    <row r="1509" spans="1:6" ht="17.100000000000001" hidden="1" customHeight="1">
      <c r="A1509" s="575"/>
      <c r="B1509" s="1277"/>
      <c r="C1509" s="1278"/>
      <c r="D1509" s="578" t="s">
        <v>335</v>
      </c>
      <c r="E1509" s="579" t="s">
        <v>150</v>
      </c>
      <c r="F1509" s="210">
        <v>0</v>
      </c>
    </row>
    <row r="1510" spans="1:6" ht="17.100000000000001" customHeight="1">
      <c r="A1510" s="575"/>
      <c r="B1510" s="1277"/>
      <c r="C1510" s="1278"/>
      <c r="D1510" s="578" t="s">
        <v>215</v>
      </c>
      <c r="E1510" s="579" t="s">
        <v>150</v>
      </c>
      <c r="F1510" s="210">
        <v>16738</v>
      </c>
    </row>
    <row r="1511" spans="1:6" ht="17.100000000000001" hidden="1" customHeight="1">
      <c r="A1511" s="575"/>
      <c r="B1511" s="1277"/>
      <c r="C1511" s="1278"/>
      <c r="D1511" s="578" t="s">
        <v>336</v>
      </c>
      <c r="E1511" s="579" t="s">
        <v>154</v>
      </c>
      <c r="F1511" s="210">
        <v>0</v>
      </c>
    </row>
    <row r="1512" spans="1:6" ht="17.100000000000001" customHeight="1">
      <c r="A1512" s="575"/>
      <c r="B1512" s="1277"/>
      <c r="C1512" s="1278"/>
      <c r="D1512" s="578" t="s">
        <v>219</v>
      </c>
      <c r="E1512" s="579" t="s">
        <v>154</v>
      </c>
      <c r="F1512" s="210">
        <v>2877</v>
      </c>
    </row>
    <row r="1513" spans="1:6" ht="17.100000000000001" hidden="1" customHeight="1">
      <c r="A1513" s="575"/>
      <c r="B1513" s="1277"/>
      <c r="C1513" s="1278"/>
      <c r="D1513" s="578" t="s">
        <v>337</v>
      </c>
      <c r="E1513" s="579" t="s">
        <v>156</v>
      </c>
      <c r="F1513" s="210">
        <v>0</v>
      </c>
    </row>
    <row r="1514" spans="1:6" ht="17.100000000000001" customHeight="1">
      <c r="A1514" s="575"/>
      <c r="B1514" s="1277"/>
      <c r="C1514" s="1278"/>
      <c r="D1514" s="578" t="s">
        <v>221</v>
      </c>
      <c r="E1514" s="579" t="s">
        <v>156</v>
      </c>
      <c r="F1514" s="210">
        <v>410</v>
      </c>
    </row>
    <row r="1515" spans="1:6" ht="17.100000000000001" hidden="1" customHeight="1">
      <c r="A1515" s="575"/>
      <c r="B1515" s="1277"/>
      <c r="C1515" s="1278"/>
      <c r="D1515" s="578" t="s">
        <v>368</v>
      </c>
      <c r="E1515" s="579" t="s">
        <v>158</v>
      </c>
      <c r="F1515" s="210">
        <v>0</v>
      </c>
    </row>
    <row r="1516" spans="1:6" ht="17.100000000000001" hidden="1" customHeight="1">
      <c r="A1516" s="575"/>
      <c r="B1516" s="1277"/>
      <c r="C1516" s="1278"/>
      <c r="D1516" s="578" t="s">
        <v>223</v>
      </c>
      <c r="E1516" s="579" t="s">
        <v>158</v>
      </c>
      <c r="F1516" s="210">
        <v>0</v>
      </c>
    </row>
    <row r="1517" spans="1:6" ht="17.100000000000001" hidden="1" customHeight="1">
      <c r="A1517" s="575"/>
      <c r="B1517" s="1277"/>
      <c r="C1517" s="1278"/>
      <c r="D1517" s="578" t="s">
        <v>369</v>
      </c>
      <c r="E1517" s="579" t="s">
        <v>163</v>
      </c>
      <c r="F1517" s="210">
        <v>0</v>
      </c>
    </row>
    <row r="1518" spans="1:6" ht="17.100000000000001" customHeight="1">
      <c r="A1518" s="575"/>
      <c r="B1518" s="1277"/>
      <c r="C1518" s="1278"/>
      <c r="D1518" s="578" t="s">
        <v>228</v>
      </c>
      <c r="E1518" s="579" t="s">
        <v>163</v>
      </c>
      <c r="F1518" s="210">
        <v>1335</v>
      </c>
    </row>
    <row r="1519" spans="1:6" ht="17.100000000000001" customHeight="1">
      <c r="A1519" s="575"/>
      <c r="B1519" s="580"/>
      <c r="C1519" s="550"/>
      <c r="D1519" s="578" t="s">
        <v>399</v>
      </c>
      <c r="E1519" s="579" t="s">
        <v>165</v>
      </c>
      <c r="F1519" s="210">
        <v>445</v>
      </c>
    </row>
    <row r="1520" spans="1:6" ht="17.100000000000001" customHeight="1">
      <c r="A1520" s="575"/>
      <c r="B1520" s="580"/>
      <c r="C1520" s="550"/>
      <c r="D1520" s="578" t="s">
        <v>232</v>
      </c>
      <c r="E1520" s="579" t="s">
        <v>171</v>
      </c>
      <c r="F1520" s="210">
        <v>223</v>
      </c>
    </row>
    <row r="1521" spans="1:7" ht="17.100000000000001" customHeight="1">
      <c r="A1521" s="575"/>
      <c r="B1521" s="580"/>
      <c r="C1521" s="550"/>
      <c r="D1521" s="578" t="s">
        <v>271</v>
      </c>
      <c r="E1521" s="579" t="s">
        <v>358</v>
      </c>
      <c r="F1521" s="210">
        <v>222</v>
      </c>
    </row>
    <row r="1522" spans="1:7" ht="17.100000000000001" hidden="1" customHeight="1">
      <c r="A1522" s="575"/>
      <c r="B1522" s="1277"/>
      <c r="C1522" s="1278"/>
      <c r="D1522" s="578" t="s">
        <v>297</v>
      </c>
      <c r="E1522" s="579" t="s">
        <v>258</v>
      </c>
      <c r="F1522" s="210">
        <v>0</v>
      </c>
    </row>
    <row r="1523" spans="1:7" ht="17.100000000000001" hidden="1" customHeight="1">
      <c r="A1523" s="575"/>
      <c r="B1523" s="1277"/>
      <c r="C1523" s="1278"/>
      <c r="D1523" s="578" t="s">
        <v>298</v>
      </c>
      <c r="E1523" s="579" t="s">
        <v>258</v>
      </c>
      <c r="F1523" s="210">
        <v>0</v>
      </c>
    </row>
    <row r="1524" spans="1:7" ht="17.100000000000001" customHeight="1">
      <c r="A1524" s="575"/>
      <c r="B1524" s="1265" t="s">
        <v>11</v>
      </c>
      <c r="C1524" s="1266"/>
      <c r="D1524" s="576"/>
      <c r="E1524" s="577" t="s">
        <v>12</v>
      </c>
      <c r="F1524" s="206">
        <f>F1525</f>
        <v>400000</v>
      </c>
    </row>
    <row r="1525" spans="1:7" ht="17.100000000000001" customHeight="1">
      <c r="A1525" s="575"/>
      <c r="B1525" s="1267"/>
      <c r="C1525" s="1268"/>
      <c r="D1525" s="1271" t="s">
        <v>146</v>
      </c>
      <c r="E1525" s="1272"/>
      <c r="F1525" s="207">
        <f>F1526</f>
        <v>400000</v>
      </c>
    </row>
    <row r="1526" spans="1:7" ht="17.100000000000001" customHeight="1">
      <c r="A1526" s="575"/>
      <c r="B1526" s="1269"/>
      <c r="C1526" s="1270"/>
      <c r="D1526" s="1273" t="s">
        <v>209</v>
      </c>
      <c r="E1526" s="1283"/>
      <c r="F1526" s="210">
        <f>F1527</f>
        <v>400000</v>
      </c>
    </row>
    <row r="1527" spans="1:7" ht="28.5" customHeight="1">
      <c r="A1527" s="575"/>
      <c r="B1527" s="1297"/>
      <c r="C1527" s="1298"/>
      <c r="D1527" s="578" t="s">
        <v>674</v>
      </c>
      <c r="E1527" s="579" t="s">
        <v>675</v>
      </c>
      <c r="F1527" s="210">
        <f>400000</f>
        <v>400000</v>
      </c>
    </row>
    <row r="1528" spans="1:7" ht="17.100000000000001" hidden="1" customHeight="1">
      <c r="A1528" s="575"/>
      <c r="B1528" s="1265" t="s">
        <v>676</v>
      </c>
      <c r="C1528" s="1266"/>
      <c r="D1528" s="576"/>
      <c r="E1528" s="577" t="s">
        <v>129</v>
      </c>
      <c r="F1528" s="206">
        <f>F1529+F1533</f>
        <v>0</v>
      </c>
    </row>
    <row r="1529" spans="1:7" ht="17.100000000000001" hidden="1" customHeight="1">
      <c r="A1529" s="575"/>
      <c r="B1529" s="1267"/>
      <c r="C1529" s="1268"/>
      <c r="D1529" s="1271" t="s">
        <v>146</v>
      </c>
      <c r="E1529" s="1272"/>
      <c r="F1529" s="207">
        <f>F1530</f>
        <v>0</v>
      </c>
    </row>
    <row r="1530" spans="1:7" ht="17.100000000000001" hidden="1" customHeight="1">
      <c r="A1530" s="575"/>
      <c r="B1530" s="1269"/>
      <c r="C1530" s="1270"/>
      <c r="D1530" s="1273" t="s">
        <v>209</v>
      </c>
      <c r="E1530" s="1283"/>
      <c r="F1530" s="210">
        <f>F1531</f>
        <v>0</v>
      </c>
    </row>
    <row r="1531" spans="1:7" ht="38.25" hidden="1" customHeight="1">
      <c r="A1531" s="575"/>
      <c r="B1531" s="1269"/>
      <c r="C1531" s="1270"/>
      <c r="D1531" s="578" t="s">
        <v>279</v>
      </c>
      <c r="E1531" s="579" t="s">
        <v>280</v>
      </c>
      <c r="F1531" s="210">
        <v>0</v>
      </c>
    </row>
    <row r="1532" spans="1:7" ht="17.100000000000001" hidden="1" customHeight="1">
      <c r="A1532" s="575"/>
      <c r="B1532" s="596"/>
      <c r="C1532" s="549"/>
      <c r="D1532" s="1277"/>
      <c r="E1532" s="1281"/>
      <c r="F1532" s="1282"/>
    </row>
    <row r="1533" spans="1:7" ht="17.100000000000001" hidden="1" customHeight="1">
      <c r="A1533" s="575"/>
      <c r="B1533" s="596"/>
      <c r="C1533" s="549"/>
      <c r="D1533" s="1312" t="s">
        <v>202</v>
      </c>
      <c r="E1533" s="1313"/>
      <c r="F1533" s="207">
        <f>F1534</f>
        <v>0</v>
      </c>
    </row>
    <row r="1534" spans="1:7" ht="17.100000000000001" hidden="1" customHeight="1">
      <c r="A1534" s="575"/>
      <c r="B1534" s="596"/>
      <c r="C1534" s="549"/>
      <c r="D1534" s="1285" t="s">
        <v>272</v>
      </c>
      <c r="E1534" s="1286"/>
      <c r="F1534" s="210">
        <f>F1535</f>
        <v>0</v>
      </c>
    </row>
    <row r="1535" spans="1:7" ht="39.75" hidden="1" customHeight="1">
      <c r="A1535" s="575"/>
      <c r="B1535" s="1277"/>
      <c r="C1535" s="1278"/>
      <c r="D1535" s="578" t="s">
        <v>284</v>
      </c>
      <c r="E1535" s="579" t="s">
        <v>280</v>
      </c>
      <c r="F1535" s="210">
        <v>0</v>
      </c>
      <c r="G1535" s="213"/>
    </row>
    <row r="1536" spans="1:7" ht="17.100000000000001" customHeight="1">
      <c r="A1536" s="676" t="s">
        <v>677</v>
      </c>
      <c r="B1536" s="1460"/>
      <c r="C1536" s="1461"/>
      <c r="D1536" s="677"/>
      <c r="E1536" s="678" t="s">
        <v>678</v>
      </c>
      <c r="F1536" s="242">
        <f>F1537+F1549+F1563+F1572+F1578</f>
        <v>857469</v>
      </c>
    </row>
    <row r="1537" spans="1:9" ht="17.100000000000001" customHeight="1">
      <c r="A1537" s="575"/>
      <c r="B1537" s="1265" t="s">
        <v>679</v>
      </c>
      <c r="C1537" s="1266"/>
      <c r="D1537" s="576"/>
      <c r="E1537" s="577" t="s">
        <v>680</v>
      </c>
      <c r="F1537" s="206">
        <f>F1538+F1546</f>
        <v>196982</v>
      </c>
    </row>
    <row r="1538" spans="1:9" ht="17.100000000000001" customHeight="1">
      <c r="A1538" s="575"/>
      <c r="B1538" s="1267"/>
      <c r="C1538" s="1268"/>
      <c r="D1538" s="1271" t="s">
        <v>146</v>
      </c>
      <c r="E1538" s="1272"/>
      <c r="F1538" s="207">
        <f>F1539+F1543</f>
        <v>155700</v>
      </c>
    </row>
    <row r="1539" spans="1:9" ht="17.100000000000001" customHeight="1">
      <c r="A1539" s="575"/>
      <c r="B1539" s="1269"/>
      <c r="C1539" s="1270"/>
      <c r="D1539" s="1452" t="s">
        <v>147</v>
      </c>
      <c r="E1539" s="1453"/>
      <c r="F1539" s="207">
        <f>F1540</f>
        <v>135700</v>
      </c>
    </row>
    <row r="1540" spans="1:9" ht="17.100000000000001" customHeight="1">
      <c r="A1540" s="575"/>
      <c r="B1540" s="1269"/>
      <c r="C1540" s="1270"/>
      <c r="D1540" s="1279" t="s">
        <v>159</v>
      </c>
      <c r="E1540" s="1280"/>
      <c r="F1540" s="210">
        <f>SUM(F1541:F1541)</f>
        <v>135700</v>
      </c>
    </row>
    <row r="1541" spans="1:9" ht="17.100000000000001" customHeight="1">
      <c r="A1541" s="575"/>
      <c r="B1541" s="1269"/>
      <c r="C1541" s="1270"/>
      <c r="D1541" s="578" t="s">
        <v>170</v>
      </c>
      <c r="E1541" s="579" t="s">
        <v>171</v>
      </c>
      <c r="F1541" s="210">
        <f>62000+73700</f>
        <v>135700</v>
      </c>
      <c r="H1541" s="201" t="s">
        <v>681</v>
      </c>
      <c r="I1541" s="201" t="s">
        <v>682</v>
      </c>
    </row>
    <row r="1542" spans="1:9" ht="17.100000000000001" customHeight="1">
      <c r="A1542" s="575"/>
      <c r="B1542" s="596"/>
      <c r="C1542" s="549"/>
      <c r="D1542" s="587"/>
      <c r="E1542" s="582"/>
      <c r="F1542" s="210"/>
    </row>
    <row r="1543" spans="1:9" ht="17.100000000000001" customHeight="1">
      <c r="A1543" s="575"/>
      <c r="B1543" s="596"/>
      <c r="C1543" s="549"/>
      <c r="D1543" s="1273" t="s">
        <v>209</v>
      </c>
      <c r="E1543" s="1283"/>
      <c r="F1543" s="210">
        <f>F1544</f>
        <v>20000</v>
      </c>
    </row>
    <row r="1544" spans="1:9" ht="28.5" customHeight="1">
      <c r="A1544" s="575"/>
      <c r="B1544" s="596"/>
      <c r="C1544" s="549"/>
      <c r="D1544" s="578" t="s">
        <v>674</v>
      </c>
      <c r="E1544" s="579" t="s">
        <v>675</v>
      </c>
      <c r="F1544" s="210">
        <v>20000</v>
      </c>
    </row>
    <row r="1545" spans="1:9" ht="16.5" customHeight="1">
      <c r="A1545" s="575"/>
      <c r="B1545" s="596"/>
      <c r="C1545" s="549"/>
      <c r="D1545" s="649"/>
      <c r="E1545" s="619"/>
      <c r="F1545" s="239"/>
    </row>
    <row r="1546" spans="1:9" ht="17.100000000000001" customHeight="1">
      <c r="A1546" s="575"/>
      <c r="B1546" s="580"/>
      <c r="C1546" s="550"/>
      <c r="D1546" s="1462" t="s">
        <v>202</v>
      </c>
      <c r="E1546" s="1463"/>
      <c r="F1546" s="207">
        <f>F1547</f>
        <v>41282</v>
      </c>
    </row>
    <row r="1547" spans="1:9" ht="17.100000000000001" customHeight="1">
      <c r="A1547" s="575"/>
      <c r="B1547" s="580"/>
      <c r="C1547" s="551"/>
      <c r="D1547" s="1368" t="s">
        <v>203</v>
      </c>
      <c r="E1547" s="1368"/>
      <c r="F1547" s="210">
        <f>F1548</f>
        <v>41282</v>
      </c>
    </row>
    <row r="1548" spans="1:9" ht="38.25">
      <c r="A1548" s="575"/>
      <c r="B1548" s="580"/>
      <c r="C1548" s="550"/>
      <c r="D1548" s="531" t="s">
        <v>320</v>
      </c>
      <c r="E1548" s="532" t="s">
        <v>683</v>
      </c>
      <c r="F1548" s="210">
        <v>41282</v>
      </c>
      <c r="G1548" s="213"/>
    </row>
    <row r="1549" spans="1:9" ht="24.75" customHeight="1">
      <c r="A1549" s="575"/>
      <c r="B1549" s="1265" t="s">
        <v>684</v>
      </c>
      <c r="C1549" s="1266"/>
      <c r="D1549" s="576"/>
      <c r="E1549" s="577" t="s">
        <v>685</v>
      </c>
      <c r="F1549" s="206">
        <f>F1550+F1557</f>
        <v>600000</v>
      </c>
    </row>
    <row r="1550" spans="1:9" ht="17.100000000000001" customHeight="1">
      <c r="A1550" s="575"/>
      <c r="B1550" s="1267"/>
      <c r="C1550" s="1268"/>
      <c r="D1550" s="1271" t="s">
        <v>146</v>
      </c>
      <c r="E1550" s="1272"/>
      <c r="F1550" s="207">
        <f>F1551</f>
        <v>600000</v>
      </c>
    </row>
    <row r="1551" spans="1:9" ht="17.100000000000001" customHeight="1">
      <c r="A1551" s="575"/>
      <c r="B1551" s="1269"/>
      <c r="C1551" s="1270"/>
      <c r="D1551" s="1452" t="s">
        <v>147</v>
      </c>
      <c r="E1551" s="1453"/>
      <c r="F1551" s="210">
        <f>F1552+F1560</f>
        <v>600000</v>
      </c>
    </row>
    <row r="1552" spans="1:9" ht="17.100000000000001" customHeight="1">
      <c r="A1552" s="575"/>
      <c r="B1552" s="1269"/>
      <c r="C1552" s="1270"/>
      <c r="D1552" s="1458" t="s">
        <v>148</v>
      </c>
      <c r="E1552" s="1459"/>
      <c r="F1552" s="210">
        <f>SUM(F1553:F1555)</f>
        <v>505000</v>
      </c>
    </row>
    <row r="1553" spans="1:6" ht="17.100000000000001" customHeight="1">
      <c r="A1553" s="575"/>
      <c r="B1553" s="1269"/>
      <c r="C1553" s="1270"/>
      <c r="D1553" s="598" t="s">
        <v>149</v>
      </c>
      <c r="E1553" s="679" t="s">
        <v>150</v>
      </c>
      <c r="F1553" s="210">
        <v>422100</v>
      </c>
    </row>
    <row r="1554" spans="1:6" ht="17.100000000000001" customHeight="1">
      <c r="A1554" s="575"/>
      <c r="B1554" s="1269"/>
      <c r="C1554" s="1270"/>
      <c r="D1554" s="578" t="s">
        <v>153</v>
      </c>
      <c r="E1554" s="579" t="s">
        <v>154</v>
      </c>
      <c r="F1554" s="210">
        <v>72559</v>
      </c>
    </row>
    <row r="1555" spans="1:6" ht="17.100000000000001" customHeight="1">
      <c r="A1555" s="575"/>
      <c r="B1555" s="1269"/>
      <c r="C1555" s="1270"/>
      <c r="D1555" s="578" t="s">
        <v>155</v>
      </c>
      <c r="E1555" s="579" t="s">
        <v>156</v>
      </c>
      <c r="F1555" s="210">
        <v>10341</v>
      </c>
    </row>
    <row r="1556" spans="1:6" ht="17.100000000000001" customHeight="1">
      <c r="A1556" s="575"/>
      <c r="B1556" s="1269"/>
      <c r="C1556" s="1270"/>
      <c r="D1556" s="1277"/>
      <c r="E1556" s="1281"/>
      <c r="F1556" s="1282"/>
    </row>
    <row r="1557" spans="1:6" ht="17.100000000000001" hidden="1" customHeight="1">
      <c r="A1557" s="575"/>
      <c r="B1557" s="1269"/>
      <c r="C1557" s="1270"/>
      <c r="D1557" s="1312" t="s">
        <v>202</v>
      </c>
      <c r="E1557" s="1313"/>
      <c r="F1557" s="207">
        <f>F1558</f>
        <v>0</v>
      </c>
    </row>
    <row r="1558" spans="1:6" ht="17.100000000000001" hidden="1" customHeight="1">
      <c r="A1558" s="575"/>
      <c r="B1558" s="1269"/>
      <c r="C1558" s="1270"/>
      <c r="D1558" s="1285" t="s">
        <v>292</v>
      </c>
      <c r="E1558" s="1286"/>
      <c r="F1558" s="210">
        <f>F1559</f>
        <v>0</v>
      </c>
    </row>
    <row r="1559" spans="1:6" ht="17.100000000000001" hidden="1" customHeight="1">
      <c r="A1559" s="575"/>
      <c r="B1559" s="1297"/>
      <c r="C1559" s="1298"/>
      <c r="D1559" s="578" t="s">
        <v>245</v>
      </c>
      <c r="E1559" s="579" t="s">
        <v>246</v>
      </c>
      <c r="F1559" s="210"/>
    </row>
    <row r="1560" spans="1:6" ht="17.100000000000001" customHeight="1">
      <c r="A1560" s="575"/>
      <c r="B1560" s="555"/>
      <c r="C1560" s="549"/>
      <c r="D1560" s="1279" t="s">
        <v>159</v>
      </c>
      <c r="E1560" s="1280"/>
      <c r="F1560" s="210">
        <f>F1562+F1561</f>
        <v>95000</v>
      </c>
    </row>
    <row r="1561" spans="1:6" ht="17.100000000000001" customHeight="1">
      <c r="A1561" s="575"/>
      <c r="B1561" s="555"/>
      <c r="C1561" s="549"/>
      <c r="D1561" s="578" t="s">
        <v>162</v>
      </c>
      <c r="E1561" s="579" t="s">
        <v>163</v>
      </c>
      <c r="F1561" s="210">
        <v>70000</v>
      </c>
    </row>
    <row r="1562" spans="1:6" ht="17.100000000000001" customHeight="1">
      <c r="A1562" s="575"/>
      <c r="B1562" s="555"/>
      <c r="C1562" s="554"/>
      <c r="D1562" s="578" t="s">
        <v>188</v>
      </c>
      <c r="E1562" s="579" t="s">
        <v>189</v>
      </c>
      <c r="F1562" s="210">
        <v>25000</v>
      </c>
    </row>
    <row r="1563" spans="1:6" ht="20.100000000000001" customHeight="1">
      <c r="A1563" s="575"/>
      <c r="B1563" s="1265" t="s">
        <v>686</v>
      </c>
      <c r="C1563" s="1266"/>
      <c r="D1563" s="576"/>
      <c r="E1563" s="577" t="s">
        <v>687</v>
      </c>
      <c r="F1563" s="206">
        <f>F1564</f>
        <v>10000</v>
      </c>
    </row>
    <row r="1564" spans="1:6" ht="17.100000000000001" customHeight="1">
      <c r="A1564" s="575"/>
      <c r="B1564" s="1267"/>
      <c r="C1564" s="1268"/>
      <c r="D1564" s="1271" t="s">
        <v>146</v>
      </c>
      <c r="E1564" s="1272"/>
      <c r="F1564" s="207">
        <f>F1565</f>
        <v>10000</v>
      </c>
    </row>
    <row r="1565" spans="1:6" ht="17.100000000000001" customHeight="1">
      <c r="A1565" s="575"/>
      <c r="B1565" s="1269"/>
      <c r="C1565" s="1270"/>
      <c r="D1565" s="1452" t="s">
        <v>147</v>
      </c>
      <c r="E1565" s="1453"/>
      <c r="F1565" s="210">
        <f>F1566+F1570</f>
        <v>10000</v>
      </c>
    </row>
    <row r="1566" spans="1:6" ht="17.100000000000001" hidden="1" customHeight="1">
      <c r="A1566" s="575"/>
      <c r="B1566" s="1269"/>
      <c r="C1566" s="1270"/>
      <c r="D1566" s="1458" t="s">
        <v>148</v>
      </c>
      <c r="E1566" s="1459"/>
      <c r="F1566" s="210">
        <f>SUM(F1567:F1569)</f>
        <v>0</v>
      </c>
    </row>
    <row r="1567" spans="1:6" ht="17.100000000000001" hidden="1" customHeight="1">
      <c r="A1567" s="575"/>
      <c r="B1567" s="1269"/>
      <c r="C1567" s="1270"/>
      <c r="D1567" s="578" t="s">
        <v>149</v>
      </c>
      <c r="E1567" s="579" t="s">
        <v>150</v>
      </c>
      <c r="F1567" s="210">
        <v>0</v>
      </c>
    </row>
    <row r="1568" spans="1:6" ht="17.100000000000001" hidden="1" customHeight="1">
      <c r="A1568" s="575"/>
      <c r="B1568" s="1269"/>
      <c r="C1568" s="1270"/>
      <c r="D1568" s="578" t="s">
        <v>153</v>
      </c>
      <c r="E1568" s="579" t="s">
        <v>154</v>
      </c>
      <c r="F1568" s="210">
        <v>0</v>
      </c>
    </row>
    <row r="1569" spans="1:6" ht="17.100000000000001" hidden="1" customHeight="1">
      <c r="A1569" s="575"/>
      <c r="B1569" s="1303"/>
      <c r="C1569" s="1320"/>
      <c r="D1569" s="578" t="s">
        <v>155</v>
      </c>
      <c r="E1569" s="579" t="s">
        <v>156</v>
      </c>
      <c r="F1569" s="210">
        <v>0</v>
      </c>
    </row>
    <row r="1570" spans="1:6" ht="17.100000000000001" customHeight="1">
      <c r="A1570" s="575"/>
      <c r="B1570" s="555"/>
      <c r="C1570" s="549"/>
      <c r="D1570" s="1279" t="s">
        <v>159</v>
      </c>
      <c r="E1570" s="1280"/>
      <c r="F1570" s="210">
        <f>F1571</f>
        <v>10000</v>
      </c>
    </row>
    <row r="1571" spans="1:6" ht="17.100000000000001" customHeight="1">
      <c r="A1571" s="575"/>
      <c r="B1571" s="555"/>
      <c r="C1571" s="680"/>
      <c r="D1571" s="578" t="s">
        <v>162</v>
      </c>
      <c r="E1571" s="579" t="s">
        <v>163</v>
      </c>
      <c r="F1571" s="210">
        <v>10000</v>
      </c>
    </row>
    <row r="1572" spans="1:6" ht="17.100000000000001" customHeight="1">
      <c r="A1572" s="575"/>
      <c r="B1572" s="555"/>
      <c r="C1572" s="564" t="s">
        <v>688</v>
      </c>
      <c r="D1572" s="576"/>
      <c r="E1572" s="577" t="s">
        <v>689</v>
      </c>
      <c r="F1572" s="206">
        <f>F1573</f>
        <v>2000</v>
      </c>
    </row>
    <row r="1573" spans="1:6" ht="17.100000000000001" customHeight="1">
      <c r="A1573" s="575"/>
      <c r="B1573" s="555"/>
      <c r="C1573" s="1268"/>
      <c r="D1573" s="1271" t="s">
        <v>146</v>
      </c>
      <c r="E1573" s="1272"/>
      <c r="F1573" s="207">
        <f>F1574</f>
        <v>2000</v>
      </c>
    </row>
    <row r="1574" spans="1:6" ht="17.100000000000001" customHeight="1">
      <c r="A1574" s="575"/>
      <c r="B1574" s="555"/>
      <c r="C1574" s="1270"/>
      <c r="D1574" s="1452" t="s">
        <v>147</v>
      </c>
      <c r="E1574" s="1453"/>
      <c r="F1574" s="210">
        <f>F1575</f>
        <v>2000</v>
      </c>
    </row>
    <row r="1575" spans="1:6" ht="17.100000000000001" customHeight="1">
      <c r="A1575" s="575"/>
      <c r="B1575" s="555"/>
      <c r="C1575" s="1270"/>
      <c r="D1575" s="1279" t="s">
        <v>159</v>
      </c>
      <c r="E1575" s="1280"/>
      <c r="F1575" s="210">
        <f>F1577+F1576</f>
        <v>2000</v>
      </c>
    </row>
    <row r="1576" spans="1:6" ht="17.100000000000001" hidden="1" customHeight="1">
      <c r="A1576" s="575"/>
      <c r="B1576" s="555"/>
      <c r="C1576" s="1270"/>
      <c r="D1576" s="578" t="s">
        <v>162</v>
      </c>
      <c r="E1576" s="579" t="s">
        <v>163</v>
      </c>
      <c r="F1576" s="210">
        <v>0</v>
      </c>
    </row>
    <row r="1577" spans="1:6" ht="17.100000000000001" customHeight="1">
      <c r="A1577" s="575"/>
      <c r="B1577" s="555"/>
      <c r="C1577" s="1298"/>
      <c r="D1577" s="578" t="s">
        <v>188</v>
      </c>
      <c r="E1577" s="579" t="s">
        <v>189</v>
      </c>
      <c r="F1577" s="210">
        <v>2000</v>
      </c>
    </row>
    <row r="1578" spans="1:6" ht="17.100000000000001" customHeight="1">
      <c r="A1578" s="575"/>
      <c r="B1578" s="1265" t="s">
        <v>690</v>
      </c>
      <c r="C1578" s="1266"/>
      <c r="D1578" s="576"/>
      <c r="E1578" s="577" t="s">
        <v>129</v>
      </c>
      <c r="F1578" s="206">
        <f>F1579</f>
        <v>48487</v>
      </c>
    </row>
    <row r="1579" spans="1:6" ht="17.100000000000001" customHeight="1">
      <c r="A1579" s="575"/>
      <c r="B1579" s="1267"/>
      <c r="C1579" s="1268"/>
      <c r="D1579" s="1271" t="s">
        <v>146</v>
      </c>
      <c r="E1579" s="1272"/>
      <c r="F1579" s="207">
        <f>F1580</f>
        <v>48487</v>
      </c>
    </row>
    <row r="1580" spans="1:6" ht="17.100000000000001" customHeight="1">
      <c r="A1580" s="575"/>
      <c r="B1580" s="1269"/>
      <c r="C1580" s="1270"/>
      <c r="D1580" s="1452" t="s">
        <v>147</v>
      </c>
      <c r="E1580" s="1453"/>
      <c r="F1580" s="210">
        <f>F1581</f>
        <v>48487</v>
      </c>
    </row>
    <row r="1581" spans="1:6" ht="17.100000000000001" customHeight="1">
      <c r="A1581" s="575"/>
      <c r="B1581" s="1269"/>
      <c r="C1581" s="1270"/>
      <c r="D1581" s="1464" t="s">
        <v>159</v>
      </c>
      <c r="E1581" s="1465"/>
      <c r="F1581" s="210">
        <f>SUM(F1582:F1584)</f>
        <v>48487</v>
      </c>
    </row>
    <row r="1582" spans="1:6" ht="17.100000000000001" hidden="1" customHeight="1">
      <c r="A1582" s="575"/>
      <c r="B1582" s="1269"/>
      <c r="C1582" s="1288"/>
      <c r="D1582" s="613" t="s">
        <v>162</v>
      </c>
      <c r="E1582" s="560" t="s">
        <v>163</v>
      </c>
      <c r="F1582" s="210"/>
    </row>
    <row r="1583" spans="1:6" ht="17.100000000000001" customHeight="1">
      <c r="A1583" s="575"/>
      <c r="B1583" s="1269"/>
      <c r="C1583" s="1270"/>
      <c r="D1583" s="531" t="s">
        <v>170</v>
      </c>
      <c r="E1583" s="579" t="s">
        <v>171</v>
      </c>
      <c r="F1583" s="210">
        <v>43487</v>
      </c>
    </row>
    <row r="1584" spans="1:6" ht="17.100000000000001" customHeight="1">
      <c r="A1584" s="575"/>
      <c r="B1584" s="1297"/>
      <c r="C1584" s="1298"/>
      <c r="D1584" s="578" t="s">
        <v>257</v>
      </c>
      <c r="E1584" s="579" t="s">
        <v>258</v>
      </c>
      <c r="F1584" s="210">
        <v>5000</v>
      </c>
    </row>
    <row r="1585" spans="1:6" ht="17.100000000000001" customHeight="1">
      <c r="A1585" s="572" t="s">
        <v>13</v>
      </c>
      <c r="B1585" s="1263"/>
      <c r="C1585" s="1264"/>
      <c r="D1585" s="573"/>
      <c r="E1585" s="574" t="s">
        <v>691</v>
      </c>
      <c r="F1585" s="205">
        <f>F1586+F1594+F1603+F1612+F1622+F1627+F1636+F1645+F1655+F1663</f>
        <v>51208935</v>
      </c>
    </row>
    <row r="1586" spans="1:6" ht="17.100000000000001" customHeight="1">
      <c r="A1586" s="575"/>
      <c r="B1586" s="1265" t="s">
        <v>692</v>
      </c>
      <c r="C1586" s="1266"/>
      <c r="D1586" s="576"/>
      <c r="E1586" s="577" t="s">
        <v>693</v>
      </c>
      <c r="F1586" s="206">
        <f>F1587</f>
        <v>690000</v>
      </c>
    </row>
    <row r="1587" spans="1:6" ht="17.100000000000001" customHeight="1">
      <c r="A1587" s="575"/>
      <c r="B1587" s="1267"/>
      <c r="C1587" s="1268"/>
      <c r="D1587" s="1271" t="s">
        <v>146</v>
      </c>
      <c r="E1587" s="1272"/>
      <c r="F1587" s="207">
        <f>F1588+F1591</f>
        <v>690000</v>
      </c>
    </row>
    <row r="1588" spans="1:6" ht="17.100000000000001" customHeight="1">
      <c r="A1588" s="575"/>
      <c r="B1588" s="1269"/>
      <c r="C1588" s="1270"/>
      <c r="D1588" s="1273" t="s">
        <v>209</v>
      </c>
      <c r="E1588" s="1283"/>
      <c r="F1588" s="210">
        <f>F1589</f>
        <v>550000</v>
      </c>
    </row>
    <row r="1589" spans="1:6" ht="45.75" customHeight="1">
      <c r="A1589" s="575"/>
      <c r="B1589" s="1269"/>
      <c r="C1589" s="1270"/>
      <c r="D1589" s="578" t="s">
        <v>261</v>
      </c>
      <c r="E1589" s="579" t="s">
        <v>262</v>
      </c>
      <c r="F1589" s="210">
        <v>550000</v>
      </c>
    </row>
    <row r="1590" spans="1:6" ht="17.100000000000001" customHeight="1">
      <c r="A1590" s="575"/>
      <c r="B1590" s="1269"/>
      <c r="C1590" s="1270"/>
      <c r="D1590" s="1277"/>
      <c r="E1590" s="1281"/>
      <c r="F1590" s="1282"/>
    </row>
    <row r="1591" spans="1:6" ht="17.100000000000001" customHeight="1">
      <c r="A1591" s="575"/>
      <c r="B1591" s="1269"/>
      <c r="C1591" s="1270"/>
      <c r="D1591" s="1285" t="s">
        <v>190</v>
      </c>
      <c r="E1591" s="1286"/>
      <c r="F1591" s="210">
        <f>SUM(F1592:F1593)</f>
        <v>140000</v>
      </c>
    </row>
    <row r="1592" spans="1:6" ht="17.100000000000001" customHeight="1">
      <c r="A1592" s="575"/>
      <c r="B1592" s="1269"/>
      <c r="C1592" s="1270"/>
      <c r="D1592" s="578" t="s">
        <v>536</v>
      </c>
      <c r="E1592" s="579" t="s">
        <v>537</v>
      </c>
      <c r="F1592" s="210">
        <v>120000</v>
      </c>
    </row>
    <row r="1593" spans="1:6" ht="17.100000000000001" customHeight="1">
      <c r="A1593" s="575"/>
      <c r="B1593" s="1297"/>
      <c r="C1593" s="1298"/>
      <c r="D1593" s="578" t="s">
        <v>549</v>
      </c>
      <c r="E1593" s="579" t="s">
        <v>550</v>
      </c>
      <c r="F1593" s="210">
        <v>20000</v>
      </c>
    </row>
    <row r="1594" spans="1:6" ht="17.100000000000001" customHeight="1">
      <c r="A1594" s="575"/>
      <c r="B1594" s="1265" t="s">
        <v>694</v>
      </c>
      <c r="C1594" s="1266"/>
      <c r="D1594" s="576"/>
      <c r="E1594" s="577" t="s">
        <v>695</v>
      </c>
      <c r="F1594" s="206">
        <f>F1595+F1600</f>
        <v>4662000</v>
      </c>
    </row>
    <row r="1595" spans="1:6" ht="17.100000000000001" customHeight="1">
      <c r="A1595" s="575"/>
      <c r="B1595" s="1267"/>
      <c r="C1595" s="1268"/>
      <c r="D1595" s="1271" t="s">
        <v>146</v>
      </c>
      <c r="E1595" s="1272"/>
      <c r="F1595" s="207">
        <f>F1596</f>
        <v>4662000</v>
      </c>
    </row>
    <row r="1596" spans="1:6" ht="17.100000000000001" customHeight="1">
      <c r="A1596" s="575"/>
      <c r="B1596" s="1269"/>
      <c r="C1596" s="1270"/>
      <c r="D1596" s="1273" t="s">
        <v>209</v>
      </c>
      <c r="E1596" s="1283"/>
      <c r="F1596" s="210">
        <f>F1597+F1598</f>
        <v>4662000</v>
      </c>
    </row>
    <row r="1597" spans="1:6" ht="17.100000000000001" customHeight="1">
      <c r="A1597" s="575"/>
      <c r="B1597" s="1269"/>
      <c r="C1597" s="1270"/>
      <c r="D1597" s="578" t="s">
        <v>696</v>
      </c>
      <c r="E1597" s="579" t="s">
        <v>697</v>
      </c>
      <c r="F1597" s="210">
        <v>4386000</v>
      </c>
    </row>
    <row r="1598" spans="1:6" ht="25.5" customHeight="1">
      <c r="A1598" s="575"/>
      <c r="B1598" s="1269"/>
      <c r="C1598" s="1270"/>
      <c r="D1598" s="578" t="s">
        <v>698</v>
      </c>
      <c r="E1598" s="579" t="s">
        <v>699</v>
      </c>
      <c r="F1598" s="210">
        <v>276000</v>
      </c>
    </row>
    <row r="1599" spans="1:6" ht="17.100000000000001" hidden="1" customHeight="1">
      <c r="A1599" s="575"/>
      <c r="B1599" s="1269"/>
      <c r="C1599" s="1270"/>
      <c r="D1599" s="1277"/>
      <c r="E1599" s="1281"/>
      <c r="F1599" s="1282"/>
    </row>
    <row r="1600" spans="1:6" ht="17.100000000000001" hidden="1" customHeight="1">
      <c r="A1600" s="575"/>
      <c r="B1600" s="1269"/>
      <c r="C1600" s="1270"/>
      <c r="D1600" s="1312" t="s">
        <v>202</v>
      </c>
      <c r="E1600" s="1313"/>
      <c r="F1600" s="207">
        <f>F1601</f>
        <v>0</v>
      </c>
    </row>
    <row r="1601" spans="1:6" ht="25.5" hidden="1" customHeight="1">
      <c r="A1601" s="575"/>
      <c r="B1601" s="1269"/>
      <c r="C1601" s="1270"/>
      <c r="D1601" s="1285" t="s">
        <v>292</v>
      </c>
      <c r="E1601" s="1286"/>
      <c r="F1601" s="210">
        <f>F1602</f>
        <v>0</v>
      </c>
    </row>
    <row r="1602" spans="1:6" ht="25.5" hidden="1" customHeight="1">
      <c r="A1602" s="575"/>
      <c r="B1602" s="1269"/>
      <c r="C1602" s="1270"/>
      <c r="D1602" s="578" t="s">
        <v>558</v>
      </c>
      <c r="E1602" s="579" t="s">
        <v>559</v>
      </c>
      <c r="F1602" s="210"/>
    </row>
    <row r="1603" spans="1:6" ht="17.100000000000001" customHeight="1">
      <c r="A1603" s="575"/>
      <c r="B1603" s="1265" t="s">
        <v>700</v>
      </c>
      <c r="C1603" s="1266"/>
      <c r="D1603" s="576"/>
      <c r="E1603" s="577" t="s">
        <v>701</v>
      </c>
      <c r="F1603" s="206">
        <f>F1604</f>
        <v>6570000</v>
      </c>
    </row>
    <row r="1604" spans="1:6" ht="17.100000000000001" customHeight="1">
      <c r="A1604" s="575"/>
      <c r="B1604" s="1267"/>
      <c r="C1604" s="1268"/>
      <c r="D1604" s="1271" t="s">
        <v>146</v>
      </c>
      <c r="E1604" s="1272"/>
      <c r="F1604" s="207">
        <f>F1605</f>
        <v>6570000</v>
      </c>
    </row>
    <row r="1605" spans="1:6" ht="17.100000000000001" customHeight="1">
      <c r="A1605" s="575"/>
      <c r="B1605" s="1269"/>
      <c r="C1605" s="1270"/>
      <c r="D1605" s="1273" t="s">
        <v>209</v>
      </c>
      <c r="E1605" s="1283"/>
      <c r="F1605" s="210">
        <f>SUM(F1606:F1607)</f>
        <v>6570000</v>
      </c>
    </row>
    <row r="1606" spans="1:6" ht="17.100000000000001" customHeight="1">
      <c r="A1606" s="575"/>
      <c r="B1606" s="1269"/>
      <c r="C1606" s="1270"/>
      <c r="D1606" s="578" t="s">
        <v>696</v>
      </c>
      <c r="E1606" s="579" t="s">
        <v>697</v>
      </c>
      <c r="F1606" s="210">
        <v>5800000</v>
      </c>
    </row>
    <row r="1607" spans="1:6" ht="26.25" customHeight="1">
      <c r="A1607" s="575"/>
      <c r="B1607" s="1277"/>
      <c r="C1607" s="1278"/>
      <c r="D1607" s="578" t="s">
        <v>698</v>
      </c>
      <c r="E1607" s="579" t="s">
        <v>699</v>
      </c>
      <c r="F1607" s="210">
        <v>770000</v>
      </c>
    </row>
    <row r="1608" spans="1:6" ht="17.100000000000001" hidden="1" customHeight="1">
      <c r="A1608" s="575"/>
      <c r="B1608" s="580"/>
      <c r="C1608" s="243"/>
      <c r="D1608" s="681"/>
      <c r="E1608" s="243"/>
      <c r="F1608" s="244"/>
    </row>
    <row r="1609" spans="1:6" ht="17.100000000000001" hidden="1" customHeight="1">
      <c r="A1609" s="575"/>
      <c r="B1609" s="580"/>
      <c r="C1609" s="550"/>
      <c r="D1609" s="1312" t="s">
        <v>202</v>
      </c>
      <c r="E1609" s="1313"/>
      <c r="F1609" s="682"/>
    </row>
    <row r="1610" spans="1:6" ht="17.100000000000001" hidden="1" customHeight="1">
      <c r="A1610" s="575"/>
      <c r="B1610" s="580"/>
      <c r="C1610" s="550"/>
      <c r="D1610" s="1285" t="s">
        <v>292</v>
      </c>
      <c r="E1610" s="1286"/>
      <c r="F1610" s="648"/>
    </row>
    <row r="1611" spans="1:6" ht="26.25" hidden="1" customHeight="1">
      <c r="A1611" s="575"/>
      <c r="B1611" s="580"/>
      <c r="C1611" s="550"/>
      <c r="D1611" s="578" t="s">
        <v>558</v>
      </c>
      <c r="E1611" s="579" t="s">
        <v>559</v>
      </c>
      <c r="F1611" s="648"/>
    </row>
    <row r="1612" spans="1:6" ht="17.100000000000001" customHeight="1">
      <c r="A1612" s="575"/>
      <c r="B1612" s="1265" t="s">
        <v>702</v>
      </c>
      <c r="C1612" s="1266"/>
      <c r="D1612" s="576"/>
      <c r="E1612" s="577" t="s">
        <v>703</v>
      </c>
      <c r="F1612" s="206">
        <f>F1613+F1618</f>
        <v>5135000</v>
      </c>
    </row>
    <row r="1613" spans="1:6" ht="17.100000000000001" customHeight="1">
      <c r="A1613" s="575"/>
      <c r="B1613" s="1267"/>
      <c r="C1613" s="1268"/>
      <c r="D1613" s="1271" t="s">
        <v>146</v>
      </c>
      <c r="E1613" s="1272"/>
      <c r="F1613" s="207">
        <f>F1614</f>
        <v>5135000</v>
      </c>
    </row>
    <row r="1614" spans="1:6" ht="17.100000000000001" customHeight="1">
      <c r="A1614" s="575"/>
      <c r="B1614" s="1269"/>
      <c r="C1614" s="1270"/>
      <c r="D1614" s="1273" t="s">
        <v>209</v>
      </c>
      <c r="E1614" s="1283"/>
      <c r="F1614" s="210">
        <f>SUM(F1615:F1616)</f>
        <v>5135000</v>
      </c>
    </row>
    <row r="1615" spans="1:6" ht="17.100000000000001" customHeight="1">
      <c r="A1615" s="575"/>
      <c r="B1615" s="1269"/>
      <c r="C1615" s="1270"/>
      <c r="D1615" s="578" t="s">
        <v>696</v>
      </c>
      <c r="E1615" s="579" t="s">
        <v>697</v>
      </c>
      <c r="F1615" s="210">
        <v>4850000</v>
      </c>
    </row>
    <row r="1616" spans="1:6" ht="24.75" customHeight="1">
      <c r="A1616" s="575"/>
      <c r="B1616" s="1289"/>
      <c r="C1616" s="1344"/>
      <c r="D1616" s="578" t="s">
        <v>698</v>
      </c>
      <c r="E1616" s="579" t="s">
        <v>699</v>
      </c>
      <c r="F1616" s="210">
        <v>285000</v>
      </c>
    </row>
    <row r="1617" spans="1:6" ht="18.75" hidden="1" customHeight="1">
      <c r="A1617" s="575"/>
      <c r="B1617" s="1289"/>
      <c r="C1617" s="1344"/>
      <c r="D1617" s="1277"/>
      <c r="E1617" s="1291"/>
      <c r="F1617" s="1292"/>
    </row>
    <row r="1618" spans="1:6" ht="19.5" hidden="1" customHeight="1">
      <c r="A1618" s="575"/>
      <c r="B1618" s="1289"/>
      <c r="C1618" s="1344"/>
      <c r="D1618" s="1312" t="s">
        <v>202</v>
      </c>
      <c r="E1618" s="1374"/>
      <c r="F1618" s="210">
        <f>F1619</f>
        <v>0</v>
      </c>
    </row>
    <row r="1619" spans="1:6" ht="20.25" hidden="1" customHeight="1">
      <c r="A1619" s="575"/>
      <c r="B1619" s="1289"/>
      <c r="C1619" s="1344"/>
      <c r="D1619" s="1285" t="s">
        <v>203</v>
      </c>
      <c r="E1619" s="1408"/>
      <c r="F1619" s="210">
        <f>F1621+F1620</f>
        <v>0</v>
      </c>
    </row>
    <row r="1620" spans="1:6" ht="47.25" hidden="1" customHeight="1">
      <c r="A1620" s="575"/>
      <c r="B1620" s="1289"/>
      <c r="C1620" s="1344"/>
      <c r="D1620" s="578" t="s">
        <v>284</v>
      </c>
      <c r="E1620" s="683" t="s">
        <v>280</v>
      </c>
      <c r="F1620" s="210"/>
    </row>
    <row r="1621" spans="1:6" ht="31.5" hidden="1" customHeight="1">
      <c r="A1621" s="575"/>
      <c r="B1621" s="1345"/>
      <c r="C1621" s="1346"/>
      <c r="D1621" s="587" t="s">
        <v>558</v>
      </c>
      <c r="E1621" s="684" t="s">
        <v>559</v>
      </c>
      <c r="F1621" s="210"/>
    </row>
    <row r="1622" spans="1:6" ht="17.100000000000001" customHeight="1">
      <c r="A1622" s="575"/>
      <c r="B1622" s="1265" t="s">
        <v>704</v>
      </c>
      <c r="C1622" s="1266"/>
      <c r="D1622" s="576"/>
      <c r="E1622" s="577" t="s">
        <v>705</v>
      </c>
      <c r="F1622" s="206">
        <f>F1623</f>
        <v>475000</v>
      </c>
    </row>
    <row r="1623" spans="1:6" ht="17.100000000000001" customHeight="1">
      <c r="A1623" s="575"/>
      <c r="B1623" s="1267"/>
      <c r="C1623" s="1268"/>
      <c r="D1623" s="1271" t="s">
        <v>146</v>
      </c>
      <c r="E1623" s="1272"/>
      <c r="F1623" s="207">
        <f>F1624</f>
        <v>475000</v>
      </c>
    </row>
    <row r="1624" spans="1:6" ht="17.100000000000001" customHeight="1">
      <c r="A1624" s="575"/>
      <c r="B1624" s="1269"/>
      <c r="C1624" s="1270"/>
      <c r="D1624" s="1273" t="s">
        <v>209</v>
      </c>
      <c r="E1624" s="1283"/>
      <c r="F1624" s="210">
        <f>F1625+F1626</f>
        <v>475000</v>
      </c>
    </row>
    <row r="1625" spans="1:6" ht="17.100000000000001" customHeight="1">
      <c r="A1625" s="575"/>
      <c r="B1625" s="1269"/>
      <c r="C1625" s="1270"/>
      <c r="D1625" s="578" t="s">
        <v>696</v>
      </c>
      <c r="E1625" s="579" t="s">
        <v>697</v>
      </c>
      <c r="F1625" s="210">
        <v>475000</v>
      </c>
    </row>
    <row r="1626" spans="1:6" ht="25.5" hidden="1" customHeight="1">
      <c r="A1626" s="575"/>
      <c r="B1626" s="1297"/>
      <c r="C1626" s="1298"/>
      <c r="D1626" s="578" t="s">
        <v>698</v>
      </c>
      <c r="E1626" s="579" t="s">
        <v>699</v>
      </c>
      <c r="F1626" s="210">
        <v>0</v>
      </c>
    </row>
    <row r="1627" spans="1:6" ht="17.100000000000001" customHeight="1">
      <c r="A1627" s="575"/>
      <c r="B1627" s="1265" t="s">
        <v>706</v>
      </c>
      <c r="C1627" s="1266"/>
      <c r="D1627" s="576"/>
      <c r="E1627" s="577" t="s">
        <v>707</v>
      </c>
      <c r="F1627" s="206">
        <f>F1628+F1633</f>
        <v>1362000</v>
      </c>
    </row>
    <row r="1628" spans="1:6" ht="17.100000000000001" customHeight="1">
      <c r="A1628" s="575"/>
      <c r="B1628" s="589"/>
      <c r="C1628" s="590"/>
      <c r="D1628" s="1271" t="s">
        <v>146</v>
      </c>
      <c r="E1628" s="1272"/>
      <c r="F1628" s="207">
        <f>F1629</f>
        <v>1362000</v>
      </c>
    </row>
    <row r="1629" spans="1:6" ht="17.100000000000001" customHeight="1">
      <c r="A1629" s="575"/>
      <c r="B1629" s="591"/>
      <c r="C1629" s="1270"/>
      <c r="D1629" s="1273" t="s">
        <v>209</v>
      </c>
      <c r="E1629" s="1283"/>
      <c r="F1629" s="210">
        <f>SUM(F1630:F1631)</f>
        <v>1362000</v>
      </c>
    </row>
    <row r="1630" spans="1:6" ht="17.100000000000001" customHeight="1">
      <c r="A1630" s="575"/>
      <c r="B1630" s="592"/>
      <c r="C1630" s="1270"/>
      <c r="D1630" s="578" t="s">
        <v>696</v>
      </c>
      <c r="E1630" s="579" t="s">
        <v>697</v>
      </c>
      <c r="F1630" s="210">
        <v>1362000</v>
      </c>
    </row>
    <row r="1631" spans="1:6" ht="25.5" hidden="1">
      <c r="A1631" s="575"/>
      <c r="B1631" s="593"/>
      <c r="C1631" s="1270"/>
      <c r="D1631" s="578" t="s">
        <v>698</v>
      </c>
      <c r="E1631" s="579" t="s">
        <v>699</v>
      </c>
      <c r="F1631" s="210"/>
    </row>
    <row r="1632" spans="1:6" ht="17.100000000000001" hidden="1" customHeight="1">
      <c r="A1632" s="575"/>
      <c r="B1632" s="593"/>
      <c r="C1632" s="1270"/>
      <c r="D1632" s="1277"/>
      <c r="E1632" s="1281"/>
      <c r="F1632" s="1282"/>
    </row>
    <row r="1633" spans="1:6" ht="17.100000000000001" hidden="1" customHeight="1">
      <c r="A1633" s="575"/>
      <c r="B1633" s="593"/>
      <c r="C1633" s="1270"/>
      <c r="D1633" s="1312" t="s">
        <v>202</v>
      </c>
      <c r="E1633" s="1313"/>
      <c r="F1633" s="207">
        <f>F1634</f>
        <v>0</v>
      </c>
    </row>
    <row r="1634" spans="1:6" ht="17.100000000000001" hidden="1" customHeight="1">
      <c r="A1634" s="575"/>
      <c r="B1634" s="593"/>
      <c r="C1634" s="1270"/>
      <c r="D1634" s="1285" t="s">
        <v>292</v>
      </c>
      <c r="E1634" s="1286"/>
      <c r="F1634" s="210">
        <f>F1635</f>
        <v>0</v>
      </c>
    </row>
    <row r="1635" spans="1:6" ht="38.25" hidden="1">
      <c r="A1635" s="575"/>
      <c r="B1635" s="593"/>
      <c r="C1635" s="1298"/>
      <c r="D1635" s="578" t="s">
        <v>558</v>
      </c>
      <c r="E1635" s="579" t="s">
        <v>559</v>
      </c>
      <c r="F1635" s="210"/>
    </row>
    <row r="1636" spans="1:6" ht="17.100000000000001" customHeight="1">
      <c r="A1636" s="575"/>
      <c r="B1636" s="1265" t="s">
        <v>14</v>
      </c>
      <c r="C1636" s="1266"/>
      <c r="D1636" s="576"/>
      <c r="E1636" s="577" t="s">
        <v>15</v>
      </c>
      <c r="F1636" s="206">
        <f>F1637+F1642</f>
        <v>7007590</v>
      </c>
    </row>
    <row r="1637" spans="1:6" ht="17.100000000000001" customHeight="1">
      <c r="A1637" s="575"/>
      <c r="B1637" s="1267"/>
      <c r="C1637" s="1268"/>
      <c r="D1637" s="1271" t="s">
        <v>146</v>
      </c>
      <c r="E1637" s="1272"/>
      <c r="F1637" s="207">
        <f>F1638</f>
        <v>7007590</v>
      </c>
    </row>
    <row r="1638" spans="1:6" ht="17.100000000000001" customHeight="1">
      <c r="A1638" s="575"/>
      <c r="B1638" s="1269"/>
      <c r="C1638" s="1270"/>
      <c r="D1638" s="1273" t="s">
        <v>209</v>
      </c>
      <c r="E1638" s="1283"/>
      <c r="F1638" s="210">
        <f>SUM(F1639:F1640)</f>
        <v>7007590</v>
      </c>
    </row>
    <row r="1639" spans="1:6" ht="17.100000000000001" customHeight="1">
      <c r="A1639" s="575"/>
      <c r="B1639" s="1269"/>
      <c r="C1639" s="1270"/>
      <c r="D1639" s="578" t="s">
        <v>696</v>
      </c>
      <c r="E1639" s="579" t="s">
        <v>697</v>
      </c>
      <c r="F1639" s="210">
        <v>6905590</v>
      </c>
    </row>
    <row r="1640" spans="1:6" ht="27" customHeight="1">
      <c r="A1640" s="575"/>
      <c r="B1640" s="1269"/>
      <c r="C1640" s="1270"/>
      <c r="D1640" s="578" t="s">
        <v>698</v>
      </c>
      <c r="E1640" s="579" t="s">
        <v>699</v>
      </c>
      <c r="F1640" s="210">
        <f>102000</f>
        <v>102000</v>
      </c>
    </row>
    <row r="1641" spans="1:6" ht="18.75" hidden="1" customHeight="1">
      <c r="A1641" s="575"/>
      <c r="B1641" s="1269"/>
      <c r="C1641" s="1270"/>
      <c r="D1641" s="1277"/>
      <c r="E1641" s="1281"/>
      <c r="F1641" s="1282"/>
    </row>
    <row r="1642" spans="1:6" ht="17.100000000000001" hidden="1" customHeight="1">
      <c r="A1642" s="575"/>
      <c r="B1642" s="1269"/>
      <c r="C1642" s="1270"/>
      <c r="D1642" s="1312" t="s">
        <v>202</v>
      </c>
      <c r="E1642" s="1313"/>
      <c r="F1642" s="207">
        <f>F1643</f>
        <v>0</v>
      </c>
    </row>
    <row r="1643" spans="1:6" ht="17.100000000000001" hidden="1" customHeight="1">
      <c r="A1643" s="575"/>
      <c r="B1643" s="1269"/>
      <c r="C1643" s="1270"/>
      <c r="D1643" s="1285" t="s">
        <v>292</v>
      </c>
      <c r="E1643" s="1286"/>
      <c r="F1643" s="210">
        <f>F1644</f>
        <v>0</v>
      </c>
    </row>
    <row r="1644" spans="1:6" ht="38.25" hidden="1">
      <c r="A1644" s="575"/>
      <c r="B1644" s="1297"/>
      <c r="C1644" s="1298"/>
      <c r="D1644" s="578" t="s">
        <v>558</v>
      </c>
      <c r="E1644" s="579" t="s">
        <v>559</v>
      </c>
      <c r="F1644" s="210"/>
    </row>
    <row r="1645" spans="1:6" ht="17.100000000000001" customHeight="1">
      <c r="A1645" s="575"/>
      <c r="B1645" s="1265" t="s">
        <v>126</v>
      </c>
      <c r="C1645" s="1266"/>
      <c r="D1645" s="576"/>
      <c r="E1645" s="577" t="s">
        <v>130</v>
      </c>
      <c r="F1645" s="206">
        <f>F1646+F1652</f>
        <v>21853731</v>
      </c>
    </row>
    <row r="1646" spans="1:6" ht="17.100000000000001" customHeight="1">
      <c r="A1646" s="575"/>
      <c r="B1646" s="1267"/>
      <c r="C1646" s="1268"/>
      <c r="D1646" s="1271" t="s">
        <v>146</v>
      </c>
      <c r="E1646" s="1272"/>
      <c r="F1646" s="207">
        <f>F1647</f>
        <v>20098254</v>
      </c>
    </row>
    <row r="1647" spans="1:6" ht="17.100000000000001" customHeight="1">
      <c r="A1647" s="575"/>
      <c r="B1647" s="1269"/>
      <c r="C1647" s="1270"/>
      <c r="D1647" s="1273" t="s">
        <v>209</v>
      </c>
      <c r="E1647" s="1283"/>
      <c r="F1647" s="210">
        <f>SUM(F1648:F1650)</f>
        <v>20098254</v>
      </c>
    </row>
    <row r="1648" spans="1:6" ht="17.100000000000001" customHeight="1">
      <c r="A1648" s="575"/>
      <c r="B1648" s="1269"/>
      <c r="C1648" s="1270"/>
      <c r="D1648" s="578" t="s">
        <v>696</v>
      </c>
      <c r="E1648" s="579" t="s">
        <v>697</v>
      </c>
      <c r="F1648" s="210">
        <v>18915000</v>
      </c>
    </row>
    <row r="1649" spans="1:7" ht="25.5">
      <c r="A1649" s="575"/>
      <c r="B1649" s="596"/>
      <c r="C1649" s="549"/>
      <c r="D1649" s="578" t="s">
        <v>674</v>
      </c>
      <c r="E1649" s="579" t="s">
        <v>708</v>
      </c>
      <c r="F1649" s="210">
        <v>400000</v>
      </c>
    </row>
    <row r="1650" spans="1:7" ht="27" customHeight="1">
      <c r="A1650" s="575"/>
      <c r="B1650" s="1277"/>
      <c r="C1650" s="1278"/>
      <c r="D1650" s="578" t="s">
        <v>698</v>
      </c>
      <c r="E1650" s="579" t="s">
        <v>699</v>
      </c>
      <c r="F1650" s="210">
        <v>783254</v>
      </c>
    </row>
    <row r="1651" spans="1:7" ht="17.100000000000001" customHeight="1">
      <c r="A1651" s="575"/>
      <c r="B1651" s="580"/>
      <c r="C1651" s="550"/>
      <c r="D1651" s="1277"/>
      <c r="E1651" s="1281"/>
      <c r="F1651" s="1282"/>
    </row>
    <row r="1652" spans="1:7" ht="17.100000000000001" customHeight="1">
      <c r="A1652" s="575"/>
      <c r="B1652" s="580"/>
      <c r="C1652" s="550"/>
      <c r="D1652" s="1312" t="s">
        <v>202</v>
      </c>
      <c r="E1652" s="1313"/>
      <c r="F1652" s="207">
        <f>F1653</f>
        <v>1755477</v>
      </c>
    </row>
    <row r="1653" spans="1:7" ht="17.100000000000001" customHeight="1">
      <c r="A1653" s="575"/>
      <c r="B1653" s="580"/>
      <c r="C1653" s="550"/>
      <c r="D1653" s="1285" t="s">
        <v>203</v>
      </c>
      <c r="E1653" s="1286"/>
      <c r="F1653" s="210">
        <f>F1654</f>
        <v>1755477</v>
      </c>
    </row>
    <row r="1654" spans="1:7" ht="38.25">
      <c r="A1654" s="575"/>
      <c r="B1654" s="1303"/>
      <c r="C1654" s="1320"/>
      <c r="D1654" s="578" t="s">
        <v>558</v>
      </c>
      <c r="E1654" s="579" t="s">
        <v>559</v>
      </c>
      <c r="F1654" s="210">
        <v>1755477</v>
      </c>
    </row>
    <row r="1655" spans="1:7" ht="17.100000000000001" customHeight="1">
      <c r="A1655" s="575"/>
      <c r="B1655" s="1265" t="s">
        <v>709</v>
      </c>
      <c r="C1655" s="1266"/>
      <c r="D1655" s="576"/>
      <c r="E1655" s="577" t="s">
        <v>710</v>
      </c>
      <c r="F1655" s="206">
        <f>F1656+F1660</f>
        <v>1000000</v>
      </c>
    </row>
    <row r="1656" spans="1:7" ht="17.100000000000001" customHeight="1">
      <c r="A1656" s="575"/>
      <c r="B1656" s="685"/>
      <c r="C1656" s="549"/>
      <c r="D1656" s="1271" t="s">
        <v>146</v>
      </c>
      <c r="E1656" s="1272"/>
      <c r="F1656" s="207">
        <f>F1657</f>
        <v>1000000</v>
      </c>
    </row>
    <row r="1657" spans="1:7" ht="17.100000000000001" customHeight="1">
      <c r="A1657" s="575"/>
      <c r="B1657" s="685"/>
      <c r="C1657" s="549"/>
      <c r="D1657" s="1273" t="s">
        <v>209</v>
      </c>
      <c r="E1657" s="1283"/>
      <c r="F1657" s="210">
        <f>F1658</f>
        <v>1000000</v>
      </c>
    </row>
    <row r="1658" spans="1:7" ht="41.25" customHeight="1">
      <c r="A1658" s="575"/>
      <c r="B1658" s="1277"/>
      <c r="C1658" s="1278"/>
      <c r="D1658" s="578" t="s">
        <v>711</v>
      </c>
      <c r="E1658" s="579" t="s">
        <v>712</v>
      </c>
      <c r="F1658" s="210">
        <v>1000000</v>
      </c>
    </row>
    <row r="1659" spans="1:7" ht="17.100000000000001" hidden="1" customHeight="1">
      <c r="A1659" s="575"/>
      <c r="B1659" s="580"/>
      <c r="C1659" s="550"/>
      <c r="D1659" s="1277"/>
      <c r="E1659" s="1281"/>
      <c r="F1659" s="1282"/>
    </row>
    <row r="1660" spans="1:7" ht="17.100000000000001" hidden="1" customHeight="1">
      <c r="A1660" s="575"/>
      <c r="B1660" s="580"/>
      <c r="C1660" s="550"/>
      <c r="D1660" s="1312" t="s">
        <v>202</v>
      </c>
      <c r="E1660" s="1313"/>
      <c r="F1660" s="207">
        <f>F1661</f>
        <v>0</v>
      </c>
    </row>
    <row r="1661" spans="1:7" ht="17.100000000000001" hidden="1" customHeight="1">
      <c r="A1661" s="575"/>
      <c r="B1661" s="580"/>
      <c r="C1661" s="550"/>
      <c r="D1661" s="1285" t="s">
        <v>203</v>
      </c>
      <c r="E1661" s="1286"/>
      <c r="F1661" s="210">
        <f>F1662</f>
        <v>0</v>
      </c>
    </row>
    <row r="1662" spans="1:7" ht="38.25" hidden="1">
      <c r="A1662" s="575"/>
      <c r="B1662" s="580"/>
      <c r="C1662" s="550"/>
      <c r="D1662" s="578" t="s">
        <v>284</v>
      </c>
      <c r="E1662" s="579" t="s">
        <v>280</v>
      </c>
      <c r="F1662" s="210"/>
      <c r="G1662" s="213"/>
    </row>
    <row r="1663" spans="1:7" ht="17.100000000000001" customHeight="1">
      <c r="A1663" s="575"/>
      <c r="B1663" s="1265" t="s">
        <v>128</v>
      </c>
      <c r="C1663" s="1266"/>
      <c r="D1663" s="576"/>
      <c r="E1663" s="577" t="s">
        <v>129</v>
      </c>
      <c r="F1663" s="206">
        <f>F1664+F1670</f>
        <v>2453614</v>
      </c>
    </row>
    <row r="1664" spans="1:7" ht="17.100000000000001" customHeight="1">
      <c r="A1664" s="575"/>
      <c r="B1664" s="1466"/>
      <c r="C1664" s="1467"/>
      <c r="D1664" s="1312" t="s">
        <v>146</v>
      </c>
      <c r="E1664" s="1313"/>
      <c r="F1664" s="207">
        <f>F1665</f>
        <v>133038</v>
      </c>
    </row>
    <row r="1665" spans="1:9" ht="17.100000000000001" customHeight="1">
      <c r="A1665" s="575"/>
      <c r="B1665" s="1466"/>
      <c r="C1665" s="1467"/>
      <c r="D1665" s="1273" t="s">
        <v>147</v>
      </c>
      <c r="E1665" s="1283"/>
      <c r="F1665" s="210">
        <f>F1666</f>
        <v>133038</v>
      </c>
    </row>
    <row r="1666" spans="1:9" ht="17.100000000000001" customHeight="1">
      <c r="A1666" s="575"/>
      <c r="B1666" s="1466"/>
      <c r="C1666" s="1467"/>
      <c r="D1666" s="1279" t="s">
        <v>159</v>
      </c>
      <c r="E1666" s="1280"/>
      <c r="F1666" s="210">
        <f>SUM(F1667:F1668)</f>
        <v>133038</v>
      </c>
    </row>
    <row r="1667" spans="1:9" ht="17.100000000000001" customHeight="1">
      <c r="A1667" s="575"/>
      <c r="B1667" s="1466"/>
      <c r="C1667" s="1467"/>
      <c r="D1667" s="578" t="s">
        <v>162</v>
      </c>
      <c r="E1667" s="579" t="s">
        <v>163</v>
      </c>
      <c r="F1667" s="210">
        <f>3000+7038</f>
        <v>10038</v>
      </c>
      <c r="H1667" s="201" t="s">
        <v>436</v>
      </c>
      <c r="I1667" s="201" t="s">
        <v>713</v>
      </c>
    </row>
    <row r="1668" spans="1:9" ht="17.100000000000001" customHeight="1">
      <c r="A1668" s="575"/>
      <c r="B1668" s="1466"/>
      <c r="C1668" s="1467"/>
      <c r="D1668" s="578" t="s">
        <v>170</v>
      </c>
      <c r="E1668" s="579" t="s">
        <v>171</v>
      </c>
      <c r="F1668" s="210">
        <f>15000+108000</f>
        <v>123000</v>
      </c>
      <c r="H1668" s="201" t="s">
        <v>384</v>
      </c>
      <c r="I1668" s="201" t="s">
        <v>714</v>
      </c>
    </row>
    <row r="1669" spans="1:9" ht="17.100000000000001" customHeight="1">
      <c r="A1669" s="575"/>
      <c r="B1669" s="686"/>
      <c r="C1669" s="566"/>
      <c r="D1669" s="587"/>
      <c r="E1669" s="582"/>
      <c r="F1669" s="210"/>
    </row>
    <row r="1670" spans="1:9" ht="17.100000000000001" customHeight="1">
      <c r="A1670" s="575"/>
      <c r="B1670" s="580"/>
      <c r="C1670" s="550"/>
      <c r="D1670" s="1312" t="s">
        <v>202</v>
      </c>
      <c r="E1670" s="1313"/>
      <c r="F1670" s="207">
        <f>F1671</f>
        <v>2320576</v>
      </c>
    </row>
    <row r="1671" spans="1:9" ht="17.100000000000001" customHeight="1">
      <c r="A1671" s="575"/>
      <c r="B1671" s="580"/>
      <c r="C1671" s="550"/>
      <c r="D1671" s="1319" t="s">
        <v>203</v>
      </c>
      <c r="E1671" s="1286"/>
      <c r="F1671" s="210">
        <f>F1672+F1673+F1674</f>
        <v>2320576</v>
      </c>
    </row>
    <row r="1672" spans="1:9" ht="17.100000000000001" customHeight="1">
      <c r="A1672" s="575"/>
      <c r="B1672" s="580"/>
      <c r="C1672" s="551"/>
      <c r="D1672" s="211" t="s">
        <v>204</v>
      </c>
      <c r="E1672" s="532" t="s">
        <v>205</v>
      </c>
      <c r="F1672" s="210">
        <v>450000</v>
      </c>
    </row>
    <row r="1673" spans="1:9" ht="38.25">
      <c r="A1673" s="575"/>
      <c r="B1673" s="580"/>
      <c r="C1673" s="550"/>
      <c r="D1673" s="531" t="s">
        <v>284</v>
      </c>
      <c r="E1673" s="579" t="s">
        <v>280</v>
      </c>
      <c r="F1673" s="210">
        <v>1670576</v>
      </c>
      <c r="G1673" s="213"/>
    </row>
    <row r="1674" spans="1:9" ht="38.25">
      <c r="A1674" s="575"/>
      <c r="B1674" s="580"/>
      <c r="C1674" s="550"/>
      <c r="D1674" s="531" t="s">
        <v>320</v>
      </c>
      <c r="E1674" s="579" t="s">
        <v>683</v>
      </c>
      <c r="F1674" s="210">
        <v>200000</v>
      </c>
      <c r="G1674" s="213"/>
    </row>
    <row r="1675" spans="1:9" ht="27.75" customHeight="1">
      <c r="A1675" s="572" t="s">
        <v>715</v>
      </c>
      <c r="B1675" s="1263"/>
      <c r="C1675" s="1264"/>
      <c r="D1675" s="573"/>
      <c r="E1675" s="574" t="s">
        <v>716</v>
      </c>
      <c r="F1675" s="205">
        <f>F1676+F1710</f>
        <v>1266824</v>
      </c>
    </row>
    <row r="1676" spans="1:9" ht="17.100000000000001" customHeight="1">
      <c r="A1676" s="575"/>
      <c r="B1676" s="1265" t="s">
        <v>717</v>
      </c>
      <c r="C1676" s="1266"/>
      <c r="D1676" s="576"/>
      <c r="E1676" s="577" t="s">
        <v>718</v>
      </c>
      <c r="F1676" s="206">
        <f>F1677+F1707</f>
        <v>1238824</v>
      </c>
    </row>
    <row r="1677" spans="1:9" ht="17.100000000000001" customHeight="1">
      <c r="A1677" s="575"/>
      <c r="B1677" s="580"/>
      <c r="C1677" s="550"/>
      <c r="D1677" s="1271" t="s">
        <v>146</v>
      </c>
      <c r="E1677" s="1272"/>
      <c r="F1677" s="207">
        <f>F1678+F1704</f>
        <v>1238824</v>
      </c>
    </row>
    <row r="1678" spans="1:9" ht="17.100000000000001" customHeight="1">
      <c r="A1678" s="575"/>
      <c r="B1678" s="580"/>
      <c r="C1678" s="550"/>
      <c r="D1678" s="1452" t="s">
        <v>147</v>
      </c>
      <c r="E1678" s="1453"/>
      <c r="F1678" s="210">
        <f>F1679+F1686</f>
        <v>1199054</v>
      </c>
    </row>
    <row r="1679" spans="1:9" ht="17.100000000000001" customHeight="1">
      <c r="A1679" s="575"/>
      <c r="B1679" s="580"/>
      <c r="C1679" s="550"/>
      <c r="D1679" s="1458" t="s">
        <v>148</v>
      </c>
      <c r="E1679" s="1459"/>
      <c r="F1679" s="210">
        <f>SUM(F1680:F1684)</f>
        <v>759644</v>
      </c>
    </row>
    <row r="1680" spans="1:9" ht="17.100000000000001" customHeight="1">
      <c r="A1680" s="575"/>
      <c r="B1680" s="1277"/>
      <c r="C1680" s="1278"/>
      <c r="D1680" s="578" t="s">
        <v>149</v>
      </c>
      <c r="E1680" s="579" t="s">
        <v>150</v>
      </c>
      <c r="F1680" s="210">
        <v>576317</v>
      </c>
    </row>
    <row r="1681" spans="1:6" ht="17.100000000000001" customHeight="1">
      <c r="A1681" s="575"/>
      <c r="B1681" s="1277"/>
      <c r="C1681" s="1278"/>
      <c r="D1681" s="578" t="s">
        <v>151</v>
      </c>
      <c r="E1681" s="579" t="s">
        <v>152</v>
      </c>
      <c r="F1681" s="210">
        <v>48535</v>
      </c>
    </row>
    <row r="1682" spans="1:6" ht="17.100000000000001" customHeight="1">
      <c r="A1682" s="575"/>
      <c r="B1682" s="1277"/>
      <c r="C1682" s="1278"/>
      <c r="D1682" s="578" t="s">
        <v>153</v>
      </c>
      <c r="E1682" s="579" t="s">
        <v>154</v>
      </c>
      <c r="F1682" s="210">
        <v>110928</v>
      </c>
    </row>
    <row r="1683" spans="1:6" ht="17.100000000000001" customHeight="1">
      <c r="A1683" s="575"/>
      <c r="B1683" s="1277"/>
      <c r="C1683" s="1278"/>
      <c r="D1683" s="578" t="s">
        <v>155</v>
      </c>
      <c r="E1683" s="579" t="s">
        <v>156</v>
      </c>
      <c r="F1683" s="210">
        <v>13364</v>
      </c>
    </row>
    <row r="1684" spans="1:6" ht="17.100000000000001" customHeight="1">
      <c r="A1684" s="575"/>
      <c r="B1684" s="1277"/>
      <c r="C1684" s="1278"/>
      <c r="D1684" s="578" t="s">
        <v>157</v>
      </c>
      <c r="E1684" s="579" t="s">
        <v>158</v>
      </c>
      <c r="F1684" s="210">
        <v>10500</v>
      </c>
    </row>
    <row r="1685" spans="1:6" ht="17.100000000000001" customHeight="1">
      <c r="A1685" s="575"/>
      <c r="B1685" s="580"/>
      <c r="C1685" s="550"/>
      <c r="D1685" s="1277"/>
      <c r="E1685" s="1281"/>
      <c r="F1685" s="1282"/>
    </row>
    <row r="1686" spans="1:6" ht="17.100000000000001" customHeight="1">
      <c r="A1686" s="575"/>
      <c r="B1686" s="580"/>
      <c r="C1686" s="550"/>
      <c r="D1686" s="1279" t="s">
        <v>159</v>
      </c>
      <c r="E1686" s="1280"/>
      <c r="F1686" s="210">
        <f>SUM(F1687:F1702)</f>
        <v>439410</v>
      </c>
    </row>
    <row r="1687" spans="1:6" ht="17.100000000000001" customHeight="1">
      <c r="A1687" s="575"/>
      <c r="B1687" s="580"/>
      <c r="C1687" s="550"/>
      <c r="D1687" s="687" t="s">
        <v>438</v>
      </c>
      <c r="E1687" s="688" t="s">
        <v>225</v>
      </c>
      <c r="F1687" s="210">
        <v>58600</v>
      </c>
    </row>
    <row r="1688" spans="1:6" ht="17.100000000000001" customHeight="1">
      <c r="A1688" s="575"/>
      <c r="B1688" s="1277"/>
      <c r="C1688" s="1278"/>
      <c r="D1688" s="578" t="s">
        <v>162</v>
      </c>
      <c r="E1688" s="579" t="s">
        <v>163</v>
      </c>
      <c r="F1688" s="210">
        <v>66960</v>
      </c>
    </row>
    <row r="1689" spans="1:6" ht="17.100000000000001" customHeight="1">
      <c r="A1689" s="575"/>
      <c r="B1689" s="1277"/>
      <c r="C1689" s="1278"/>
      <c r="D1689" s="578" t="s">
        <v>353</v>
      </c>
      <c r="E1689" s="579" t="s">
        <v>354</v>
      </c>
      <c r="F1689" s="210">
        <v>1500</v>
      </c>
    </row>
    <row r="1690" spans="1:6" ht="17.100000000000001" customHeight="1">
      <c r="A1690" s="575"/>
      <c r="B1690" s="1277"/>
      <c r="C1690" s="1278"/>
      <c r="D1690" s="578" t="s">
        <v>164</v>
      </c>
      <c r="E1690" s="579" t="s">
        <v>165</v>
      </c>
      <c r="F1690" s="210">
        <v>32200</v>
      </c>
    </row>
    <row r="1691" spans="1:6" ht="17.100000000000001" customHeight="1">
      <c r="A1691" s="575"/>
      <c r="B1691" s="1277"/>
      <c r="C1691" s="1278"/>
      <c r="D1691" s="578" t="s">
        <v>166</v>
      </c>
      <c r="E1691" s="579" t="s">
        <v>167</v>
      </c>
      <c r="F1691" s="210">
        <v>28000</v>
      </c>
    </row>
    <row r="1692" spans="1:6" ht="17.100000000000001" customHeight="1">
      <c r="A1692" s="575"/>
      <c r="B1692" s="1277"/>
      <c r="C1692" s="1278"/>
      <c r="D1692" s="578" t="s">
        <v>168</v>
      </c>
      <c r="E1692" s="579" t="s">
        <v>169</v>
      </c>
      <c r="F1692" s="210">
        <v>1800</v>
      </c>
    </row>
    <row r="1693" spans="1:6" ht="17.100000000000001" customHeight="1">
      <c r="A1693" s="575"/>
      <c r="B1693" s="1277"/>
      <c r="C1693" s="1278"/>
      <c r="D1693" s="578" t="s">
        <v>170</v>
      </c>
      <c r="E1693" s="579" t="s">
        <v>171</v>
      </c>
      <c r="F1693" s="210">
        <v>143915</v>
      </c>
    </row>
    <row r="1694" spans="1:6" ht="16.5" customHeight="1">
      <c r="A1694" s="575"/>
      <c r="B1694" s="1277"/>
      <c r="C1694" s="1278"/>
      <c r="D1694" s="578" t="s">
        <v>172</v>
      </c>
      <c r="E1694" s="579" t="s">
        <v>173</v>
      </c>
      <c r="F1694" s="210">
        <v>7000</v>
      </c>
    </row>
    <row r="1695" spans="1:6" ht="20.25" customHeight="1">
      <c r="A1695" s="575"/>
      <c r="B1695" s="1277"/>
      <c r="C1695" s="1278"/>
      <c r="D1695" s="578" t="s">
        <v>174</v>
      </c>
      <c r="E1695" s="579" t="s">
        <v>175</v>
      </c>
      <c r="F1695" s="210">
        <v>58000</v>
      </c>
    </row>
    <row r="1696" spans="1:6" ht="17.100000000000001" customHeight="1">
      <c r="A1696" s="575"/>
      <c r="B1696" s="1277"/>
      <c r="C1696" s="1278"/>
      <c r="D1696" s="578" t="s">
        <v>176</v>
      </c>
      <c r="E1696" s="579" t="s">
        <v>177</v>
      </c>
      <c r="F1696" s="210">
        <v>3500</v>
      </c>
    </row>
    <row r="1697" spans="1:6" ht="17.100000000000001" customHeight="1">
      <c r="A1697" s="575"/>
      <c r="B1697" s="1277"/>
      <c r="C1697" s="1278"/>
      <c r="D1697" s="578" t="s">
        <v>314</v>
      </c>
      <c r="E1697" s="579" t="s">
        <v>315</v>
      </c>
      <c r="F1697" s="210">
        <v>1000</v>
      </c>
    </row>
    <row r="1698" spans="1:6" ht="17.100000000000001" customHeight="1">
      <c r="A1698" s="575"/>
      <c r="B1698" s="1277"/>
      <c r="C1698" s="1278"/>
      <c r="D1698" s="578" t="s">
        <v>178</v>
      </c>
      <c r="E1698" s="579" t="s">
        <v>179</v>
      </c>
      <c r="F1698" s="210">
        <v>9500</v>
      </c>
    </row>
    <row r="1699" spans="1:6" ht="17.100000000000001" customHeight="1">
      <c r="A1699" s="575"/>
      <c r="B1699" s="1277"/>
      <c r="C1699" s="1278"/>
      <c r="D1699" s="578" t="s">
        <v>180</v>
      </c>
      <c r="E1699" s="579" t="s">
        <v>181</v>
      </c>
      <c r="F1699" s="210">
        <v>18235</v>
      </c>
    </row>
    <row r="1700" spans="1:6" ht="17.100000000000001" customHeight="1">
      <c r="A1700" s="575"/>
      <c r="B1700" s="1277"/>
      <c r="C1700" s="1278"/>
      <c r="D1700" s="578" t="s">
        <v>182</v>
      </c>
      <c r="E1700" s="579" t="s">
        <v>183</v>
      </c>
      <c r="F1700" s="210">
        <v>3500</v>
      </c>
    </row>
    <row r="1701" spans="1:6" ht="17.100000000000001" hidden="1" customHeight="1">
      <c r="A1701" s="575"/>
      <c r="B1701" s="580"/>
      <c r="C1701" s="550"/>
      <c r="D1701" s="578" t="s">
        <v>186</v>
      </c>
      <c r="E1701" s="579" t="s">
        <v>719</v>
      </c>
      <c r="F1701" s="210">
        <v>0</v>
      </c>
    </row>
    <row r="1702" spans="1:6" ht="17.100000000000001" customHeight="1">
      <c r="A1702" s="575"/>
      <c r="B1702" s="1277"/>
      <c r="C1702" s="1278"/>
      <c r="D1702" s="578" t="s">
        <v>188</v>
      </c>
      <c r="E1702" s="579" t="s">
        <v>189</v>
      </c>
      <c r="F1702" s="210">
        <v>5700</v>
      </c>
    </row>
    <row r="1703" spans="1:6" ht="17.100000000000001" customHeight="1">
      <c r="A1703" s="575"/>
      <c r="B1703" s="580"/>
      <c r="C1703" s="550"/>
      <c r="D1703" s="1277"/>
      <c r="E1703" s="1281"/>
      <c r="F1703" s="1282"/>
    </row>
    <row r="1704" spans="1:6" ht="17.100000000000001" customHeight="1">
      <c r="A1704" s="575"/>
      <c r="B1704" s="580"/>
      <c r="C1704" s="550"/>
      <c r="D1704" s="1285" t="s">
        <v>190</v>
      </c>
      <c r="E1704" s="1286"/>
      <c r="F1704" s="210">
        <f>F1705</f>
        <v>39770</v>
      </c>
    </row>
    <row r="1705" spans="1:6" ht="17.100000000000001" customHeight="1">
      <c r="A1705" s="575"/>
      <c r="B1705" s="580"/>
      <c r="C1705" s="550"/>
      <c r="D1705" s="578" t="s">
        <v>191</v>
      </c>
      <c r="E1705" s="579" t="s">
        <v>192</v>
      </c>
      <c r="F1705" s="210">
        <v>39770</v>
      </c>
    </row>
    <row r="1706" spans="1:6" ht="17.100000000000001" hidden="1" customHeight="1">
      <c r="A1706" s="575"/>
      <c r="B1706" s="580"/>
      <c r="C1706" s="550"/>
      <c r="D1706" s="1277"/>
      <c r="E1706" s="1281"/>
      <c r="F1706" s="1282"/>
    </row>
    <row r="1707" spans="1:6" ht="17.100000000000001" hidden="1" customHeight="1">
      <c r="A1707" s="575"/>
      <c r="B1707" s="580"/>
      <c r="C1707" s="550"/>
      <c r="D1707" s="1312" t="s">
        <v>202</v>
      </c>
      <c r="E1707" s="1313"/>
      <c r="F1707" s="210">
        <f>F1708</f>
        <v>0</v>
      </c>
    </row>
    <row r="1708" spans="1:6" ht="17.100000000000001" hidden="1" customHeight="1">
      <c r="A1708" s="575"/>
      <c r="B1708" s="580"/>
      <c r="C1708" s="550"/>
      <c r="D1708" s="1285" t="s">
        <v>203</v>
      </c>
      <c r="E1708" s="1286"/>
      <c r="F1708" s="210">
        <f>F1709</f>
        <v>0</v>
      </c>
    </row>
    <row r="1709" spans="1:6" ht="17.100000000000001" hidden="1" customHeight="1">
      <c r="A1709" s="575"/>
      <c r="B1709" s="580"/>
      <c r="C1709" s="550"/>
      <c r="D1709" s="583" t="s">
        <v>245</v>
      </c>
      <c r="E1709" s="579" t="s">
        <v>246</v>
      </c>
      <c r="F1709" s="210">
        <v>0</v>
      </c>
    </row>
    <row r="1710" spans="1:6" ht="17.100000000000001" customHeight="1">
      <c r="A1710" s="575"/>
      <c r="B1710" s="1265" t="s">
        <v>720</v>
      </c>
      <c r="C1710" s="1266"/>
      <c r="D1710" s="576"/>
      <c r="E1710" s="577" t="s">
        <v>129</v>
      </c>
      <c r="F1710" s="206">
        <f>F1711</f>
        <v>28000</v>
      </c>
    </row>
    <row r="1711" spans="1:6" ht="17.100000000000001" customHeight="1">
      <c r="A1711" s="575"/>
      <c r="B1711" s="580"/>
      <c r="C1711" s="550"/>
      <c r="D1711" s="1271" t="s">
        <v>146</v>
      </c>
      <c r="E1711" s="1272"/>
      <c r="F1711" s="207">
        <f>F1712</f>
        <v>28000</v>
      </c>
    </row>
    <row r="1712" spans="1:6" ht="17.100000000000001" customHeight="1">
      <c r="A1712" s="575"/>
      <c r="B1712" s="580"/>
      <c r="C1712" s="550"/>
      <c r="D1712" s="1273" t="s">
        <v>147</v>
      </c>
      <c r="E1712" s="1283"/>
      <c r="F1712" s="210">
        <f>F1713</f>
        <v>28000</v>
      </c>
    </row>
    <row r="1713" spans="1:6" ht="17.100000000000001" customHeight="1">
      <c r="A1713" s="575"/>
      <c r="B1713" s="580"/>
      <c r="C1713" s="550"/>
      <c r="D1713" s="1279" t="s">
        <v>159</v>
      </c>
      <c r="E1713" s="1280"/>
      <c r="F1713" s="210">
        <f>SUM(F1714:F1714)</f>
        <v>28000</v>
      </c>
    </row>
    <row r="1714" spans="1:6" ht="17.100000000000001" customHeight="1">
      <c r="A1714" s="575"/>
      <c r="B1714" s="580"/>
      <c r="C1714" s="550"/>
      <c r="D1714" s="578" t="s">
        <v>170</v>
      </c>
      <c r="E1714" s="579" t="s">
        <v>171</v>
      </c>
      <c r="F1714" s="210">
        <v>28000</v>
      </c>
    </row>
    <row r="1715" spans="1:6" ht="17.100000000000001" customHeight="1">
      <c r="A1715" s="622" t="s">
        <v>721</v>
      </c>
      <c r="B1715" s="1417"/>
      <c r="C1715" s="1418"/>
      <c r="D1715" s="689"/>
      <c r="E1715" s="574" t="s">
        <v>722</v>
      </c>
      <c r="F1715" s="205">
        <f>F1716</f>
        <v>2700322</v>
      </c>
    </row>
    <row r="1716" spans="1:6" ht="17.100000000000001" customHeight="1">
      <c r="A1716" s="1333"/>
      <c r="B1716" s="1468" t="s">
        <v>723</v>
      </c>
      <c r="C1716" s="1402"/>
      <c r="D1716" s="563"/>
      <c r="E1716" s="690" t="s">
        <v>724</v>
      </c>
      <c r="F1716" s="206">
        <f>F1717</f>
        <v>2700322</v>
      </c>
    </row>
    <row r="1717" spans="1:6" ht="17.100000000000001" customHeight="1">
      <c r="A1717" s="1334"/>
      <c r="B1717" s="1469"/>
      <c r="C1717" s="1470"/>
      <c r="D1717" s="1471" t="s">
        <v>146</v>
      </c>
      <c r="E1717" s="1404"/>
      <c r="F1717" s="207">
        <f>F1718+F1727+F1731</f>
        <v>2700322</v>
      </c>
    </row>
    <row r="1718" spans="1:6" ht="17.100000000000001" customHeight="1">
      <c r="A1718" s="1334"/>
      <c r="B1718" s="1281"/>
      <c r="C1718" s="1282"/>
      <c r="D1718" s="1472" t="s">
        <v>147</v>
      </c>
      <c r="E1718" s="1453"/>
      <c r="F1718" s="210">
        <f>F1719+F1723</f>
        <v>31350</v>
      </c>
    </row>
    <row r="1719" spans="1:6" ht="17.100000000000001" customHeight="1">
      <c r="A1719" s="1334"/>
      <c r="B1719" s="1281"/>
      <c r="C1719" s="1282"/>
      <c r="D1719" s="1473" t="s">
        <v>148</v>
      </c>
      <c r="E1719" s="1459"/>
      <c r="F1719" s="210">
        <f>SUM(F1720:F1721)</f>
        <v>8350</v>
      </c>
    </row>
    <row r="1720" spans="1:6" ht="17.100000000000001" customHeight="1">
      <c r="A1720" s="1334"/>
      <c r="B1720" s="1281"/>
      <c r="C1720" s="1282"/>
      <c r="D1720" s="624" t="s">
        <v>153</v>
      </c>
      <c r="E1720" s="579" t="s">
        <v>154</v>
      </c>
      <c r="F1720" s="210">
        <v>7500</v>
      </c>
    </row>
    <row r="1721" spans="1:6" ht="17.100000000000001" customHeight="1">
      <c r="A1721" s="1334"/>
      <c r="B1721" s="1281"/>
      <c r="C1721" s="1282"/>
      <c r="D1721" s="624" t="s">
        <v>155</v>
      </c>
      <c r="E1721" s="579" t="s">
        <v>156</v>
      </c>
      <c r="F1721" s="210">
        <v>850</v>
      </c>
    </row>
    <row r="1722" spans="1:6" ht="17.100000000000001" customHeight="1">
      <c r="A1722" s="1334"/>
      <c r="B1722" s="1281"/>
      <c r="C1722" s="1282"/>
      <c r="D1722" s="1392"/>
      <c r="E1722" s="1281"/>
      <c r="F1722" s="1282"/>
    </row>
    <row r="1723" spans="1:6" ht="17.100000000000001" customHeight="1">
      <c r="A1723" s="1334"/>
      <c r="B1723" s="1281"/>
      <c r="C1723" s="1282"/>
      <c r="D1723" s="1474" t="s">
        <v>159</v>
      </c>
      <c r="E1723" s="1280"/>
      <c r="F1723" s="210">
        <f>SUM(F1724:F1725)</f>
        <v>23000</v>
      </c>
    </row>
    <row r="1724" spans="1:6" ht="17.100000000000001" customHeight="1">
      <c r="A1724" s="1334"/>
      <c r="B1724" s="1281"/>
      <c r="C1724" s="1282"/>
      <c r="D1724" s="624" t="s">
        <v>162</v>
      </c>
      <c r="E1724" s="579" t="s">
        <v>163</v>
      </c>
      <c r="F1724" s="210">
        <v>20000</v>
      </c>
    </row>
    <row r="1725" spans="1:6" ht="17.100000000000001" customHeight="1">
      <c r="A1725" s="1334"/>
      <c r="B1725" s="1281"/>
      <c r="C1725" s="1282"/>
      <c r="D1725" s="655" t="s">
        <v>170</v>
      </c>
      <c r="E1725" s="584" t="s">
        <v>171</v>
      </c>
      <c r="F1725" s="585">
        <v>3000</v>
      </c>
    </row>
    <row r="1726" spans="1:6" ht="17.100000000000001" customHeight="1">
      <c r="A1726" s="1334"/>
      <c r="B1726" s="1281"/>
      <c r="C1726" s="1282"/>
      <c r="D1726" s="1365"/>
      <c r="E1726" s="1366"/>
      <c r="F1726" s="1367"/>
    </row>
    <row r="1727" spans="1:6" ht="17.100000000000001" customHeight="1">
      <c r="A1727" s="1334"/>
      <c r="B1727" s="1281"/>
      <c r="C1727" s="1282"/>
      <c r="D1727" s="1456" t="s">
        <v>725</v>
      </c>
      <c r="E1727" s="1488"/>
      <c r="F1727" s="210">
        <f>SUM(F1728:F1729)</f>
        <v>2203972</v>
      </c>
    </row>
    <row r="1728" spans="1:6" ht="38.25">
      <c r="A1728" s="1334"/>
      <c r="B1728" s="1281"/>
      <c r="C1728" s="1282"/>
      <c r="D1728" s="624" t="s">
        <v>261</v>
      </c>
      <c r="E1728" s="579" t="s">
        <v>262</v>
      </c>
      <c r="F1728" s="210">
        <v>310000</v>
      </c>
    </row>
    <row r="1729" spans="1:7" ht="25.5">
      <c r="A1729" s="1334"/>
      <c r="B1729" s="1281"/>
      <c r="C1729" s="1282"/>
      <c r="D1729" s="655" t="s">
        <v>726</v>
      </c>
      <c r="E1729" s="584" t="s">
        <v>727</v>
      </c>
      <c r="F1729" s="585">
        <v>1893972</v>
      </c>
    </row>
    <row r="1730" spans="1:7" ht="17.100000000000001" customHeight="1">
      <c r="A1730" s="1334"/>
      <c r="B1730" s="1281"/>
      <c r="C1730" s="1282"/>
      <c r="D1730" s="1365"/>
      <c r="E1730" s="1366"/>
      <c r="F1730" s="1367"/>
    </row>
    <row r="1731" spans="1:7" ht="17.100000000000001" customHeight="1">
      <c r="A1731" s="1334"/>
      <c r="B1731" s="1281"/>
      <c r="C1731" s="1282"/>
      <c r="D1731" s="1450" t="s">
        <v>190</v>
      </c>
      <c r="E1731" s="1489"/>
      <c r="F1731" s="210">
        <f>SUM(F1732:F1733)</f>
        <v>465000</v>
      </c>
    </row>
    <row r="1732" spans="1:7" ht="17.100000000000001" customHeight="1">
      <c r="A1732" s="1334"/>
      <c r="B1732" s="1281"/>
      <c r="C1732" s="1282"/>
      <c r="D1732" s="624" t="s">
        <v>536</v>
      </c>
      <c r="E1732" s="579" t="s">
        <v>537</v>
      </c>
      <c r="F1732" s="210">
        <v>65000</v>
      </c>
    </row>
    <row r="1733" spans="1:7" ht="17.100000000000001" customHeight="1">
      <c r="A1733" s="1334"/>
      <c r="B1733" s="1281"/>
      <c r="C1733" s="1282"/>
      <c r="D1733" s="655" t="s">
        <v>549</v>
      </c>
      <c r="E1733" s="584" t="s">
        <v>550</v>
      </c>
      <c r="F1733" s="210">
        <v>400000</v>
      </c>
    </row>
    <row r="1734" spans="1:7" ht="17.100000000000001" customHeight="1">
      <c r="A1734" s="1394" t="s">
        <v>728</v>
      </c>
      <c r="B1734" s="1394"/>
      <c r="C1734" s="1394"/>
      <c r="D1734" s="1394"/>
      <c r="E1734" s="1394"/>
      <c r="F1734" s="205">
        <f>F6+F164+F207+F222+F227+F238+F349+F393+F408+F478+F489+F507+F760+F766+F791+F800+F810+F1086+F1100+F1188+F1349+F1483+F1536+F1585+F1675+F1715</f>
        <v>696286257</v>
      </c>
    </row>
    <row r="1735" spans="1:7" ht="10.5" customHeight="1">
      <c r="A1735" s="1490"/>
      <c r="B1735" s="1490"/>
      <c r="C1735" s="1490"/>
      <c r="D1735" s="1490"/>
      <c r="E1735" s="1490"/>
      <c r="F1735" s="1491"/>
    </row>
    <row r="1736" spans="1:7" ht="17.100000000000001" customHeight="1">
      <c r="A1736" s="1485" t="s">
        <v>2</v>
      </c>
      <c r="B1736" s="1485"/>
      <c r="C1736" s="1485"/>
      <c r="D1736" s="1485"/>
      <c r="E1736" s="1485"/>
      <c r="F1736" s="245"/>
    </row>
    <row r="1737" spans="1:7" ht="24" customHeight="1">
      <c r="A1737" s="1486" t="s">
        <v>729</v>
      </c>
      <c r="B1737" s="1486"/>
      <c r="C1737" s="1486"/>
      <c r="D1737" s="1486"/>
      <c r="E1737" s="1486"/>
      <c r="F1737" s="246">
        <f>F1738+F1741+F1742+F1743+F1744+F1745</f>
        <v>529953295</v>
      </c>
      <c r="G1737" s="213"/>
    </row>
    <row r="1738" spans="1:7" ht="17.100000000000001" customHeight="1">
      <c r="A1738" s="1478" t="s">
        <v>730</v>
      </c>
      <c r="B1738" s="1479"/>
      <c r="C1738" s="1479"/>
      <c r="D1738" s="1479"/>
      <c r="E1738" s="1480"/>
      <c r="F1738" s="247">
        <f>F1739+F1740</f>
        <v>252087879</v>
      </c>
      <c r="G1738" s="213"/>
    </row>
    <row r="1739" spans="1:7" ht="19.5" customHeight="1">
      <c r="A1739" s="1487" t="s">
        <v>731</v>
      </c>
      <c r="B1739" s="1476"/>
      <c r="C1739" s="1476"/>
      <c r="D1739" s="1476"/>
      <c r="E1739" s="1477"/>
      <c r="F1739" s="247">
        <f>F10+F39+F69+F281+F412+F446+F511+F531+F544+F629+F671+F698+F822+F845+F862+F879+F914+F941+F997+F1030+F1177+F1200+F1232+F1278+F1359+F1487+F1552+F1566+F1679+F1719+F231</f>
        <v>133717380</v>
      </c>
    </row>
    <row r="1740" spans="1:7" ht="18.75" customHeight="1">
      <c r="A1740" s="1475" t="s">
        <v>732</v>
      </c>
      <c r="B1740" s="1476"/>
      <c r="C1740" s="1476"/>
      <c r="D1740" s="1476"/>
      <c r="E1740" s="1477"/>
      <c r="F1740" s="247">
        <f>F17+F46+F75+F131+F156+F242+F268+F276+F288+F347+F353+F362+F397+F419+F441+F453+F472+F482+F518+F534+F551+F634+F674+F693+F702+F764+F804+F828+F851+F868+F886+F921+F948+F1004+F1036+F1098+F1141+F1158+F1172+F1182+F1207+F1239+F1285+F1366+F1493+F1540+F1560+F1570+F1575+F1581+F1666+F1686+F1713+F1723+F1149</f>
        <v>118370499</v>
      </c>
    </row>
    <row r="1741" spans="1:7" ht="17.100000000000001" customHeight="1">
      <c r="A1741" s="1478" t="s">
        <v>733</v>
      </c>
      <c r="B1741" s="1479"/>
      <c r="C1741" s="1479"/>
      <c r="D1741" s="1479"/>
      <c r="E1741" s="1480"/>
      <c r="F1741" s="247">
        <f>F99+F135+F162+F210+F220+F247+F356+F681+F712+F769+F777+F789+F813+F1041+F1103+F1124+F1128+F1144+F1153+F1162+F1185+F1191+F1224+F1257+F1269+F1273+F1306+F1352+F1440+F1526+F1530+F1543+F1588+F1596+F1605+F1614+F1624+F1629+F1638+F1647+F1657+F1727+F1116+F1195+F271</f>
        <v>185902414</v>
      </c>
      <c r="G1741" s="213"/>
    </row>
    <row r="1742" spans="1:7" ht="17.100000000000001" customHeight="1">
      <c r="A1742" s="1478" t="s">
        <v>734</v>
      </c>
      <c r="B1742" s="1479"/>
      <c r="C1742" s="1479"/>
      <c r="D1742" s="1479"/>
      <c r="E1742" s="1480"/>
      <c r="F1742" s="247">
        <f>F34+F64+F88+F309+F436+F467+F539+F571+F715+F840+F857+F904+F936+F961+F1021+F1045+F1227+F1260+F1302+F1384+F1502+F1591+F1704+F1731+F1093+F874</f>
        <v>2765338</v>
      </c>
      <c r="G1742" s="213"/>
    </row>
    <row r="1743" spans="1:7" ht="15.75" customHeight="1">
      <c r="A1743" s="1481" t="s">
        <v>735</v>
      </c>
      <c r="B1743" s="1479"/>
      <c r="C1743" s="1479"/>
      <c r="D1743" s="1479"/>
      <c r="E1743" s="1480"/>
      <c r="F1743" s="247">
        <f>F103+F167+F250+F492+F574+F639+F684+F718+F964+F1050+F1310+F1388+F1444+F1506+F363</f>
        <v>68526536</v>
      </c>
    </row>
    <row r="1744" spans="1:7" ht="17.100000000000001" customHeight="1">
      <c r="A1744" s="1478" t="s">
        <v>736</v>
      </c>
      <c r="B1744" s="1479"/>
      <c r="C1744" s="1479"/>
      <c r="D1744" s="1479"/>
      <c r="E1744" s="1480"/>
      <c r="F1744" s="247">
        <f>F799</f>
        <v>7671128</v>
      </c>
      <c r="G1744" s="213"/>
    </row>
    <row r="1745" spans="1:8" ht="17.100000000000001" customHeight="1">
      <c r="A1745" s="1478" t="s">
        <v>737</v>
      </c>
      <c r="B1745" s="1479"/>
      <c r="C1745" s="1479"/>
      <c r="D1745" s="1479"/>
      <c r="E1745" s="1480"/>
      <c r="F1745" s="247">
        <f>F795</f>
        <v>13000000</v>
      </c>
    </row>
    <row r="1746" spans="1:8" ht="21.75" customHeight="1">
      <c r="A1746" s="1482" t="s">
        <v>738</v>
      </c>
      <c r="B1746" s="1483"/>
      <c r="C1746" s="1483"/>
      <c r="D1746" s="1483"/>
      <c r="E1746" s="1484"/>
      <c r="F1746" s="246">
        <f>F1747+F1749+F1750</f>
        <v>166332962</v>
      </c>
      <c r="G1746" s="213"/>
    </row>
    <row r="1747" spans="1:8" ht="17.100000000000001" customHeight="1">
      <c r="A1747" s="1478" t="s">
        <v>739</v>
      </c>
      <c r="B1747" s="1479"/>
      <c r="C1747" s="1479"/>
      <c r="D1747" s="1479"/>
      <c r="E1747" s="1480"/>
      <c r="F1747" s="247">
        <f>F92+F140+F146+F200+F215+F225+F255+F313+F330+F338+F378+F476+F502+F616+F688+F751+F785+F808+F817+F909+F1083+F1089+F1107+F1120+F1132+F1136+F1167+F1265+F1344+F1425+F1534+F1547+F1558+F1601+F1634+F1643+F1653+F1661+F1708+F1619+F1025+F773+F781+F342+F334+F1671</f>
        <v>155532962</v>
      </c>
    </row>
    <row r="1748" spans="1:8" ht="18" customHeight="1">
      <c r="A1748" s="1475" t="s">
        <v>740</v>
      </c>
      <c r="B1748" s="1476"/>
      <c r="C1748" s="1476"/>
      <c r="D1748" s="1476"/>
      <c r="E1748" s="1477"/>
      <c r="F1748" s="247">
        <f>F95+F151+F204+F260+F321+F386+F505+F623+F756+F1347+F1433</f>
        <v>66570667</v>
      </c>
      <c r="G1748" s="248"/>
    </row>
    <row r="1749" spans="1:8" ht="17.100000000000001" customHeight="1">
      <c r="A1749" s="1478" t="s">
        <v>741</v>
      </c>
      <c r="B1749" s="1479"/>
      <c r="C1749" s="1479"/>
      <c r="D1749" s="1479"/>
      <c r="E1749" s="1480"/>
      <c r="F1749" s="247">
        <f>F1112</f>
        <v>10800000</v>
      </c>
    </row>
    <row r="1750" spans="1:8" ht="17.100000000000001" customHeight="1">
      <c r="A1750" s="1478" t="s">
        <v>742</v>
      </c>
      <c r="B1750" s="1479"/>
      <c r="C1750" s="1479"/>
      <c r="D1750" s="1479"/>
      <c r="E1750" s="1480"/>
      <c r="F1750" s="247">
        <v>0</v>
      </c>
    </row>
    <row r="1751" spans="1:8" ht="17.100000000000001" customHeight="1">
      <c r="A1751" s="249"/>
      <c r="B1751" s="249"/>
      <c r="C1751" s="249"/>
      <c r="D1751" s="249"/>
      <c r="E1751" s="249"/>
      <c r="F1751" s="250"/>
      <c r="H1751" s="213"/>
    </row>
    <row r="1752" spans="1:8" ht="17.100000000000001" customHeight="1">
      <c r="A1752" s="249"/>
      <c r="B1752" s="249"/>
      <c r="C1752" s="249"/>
      <c r="D1752" s="249"/>
      <c r="E1752" s="249"/>
      <c r="F1752" s="249"/>
      <c r="G1752" s="213"/>
    </row>
    <row r="1753" spans="1:8" ht="17.100000000000001" customHeight="1">
      <c r="A1753" s="249"/>
      <c r="B1753" s="249"/>
      <c r="C1753" s="249"/>
      <c r="D1753" s="249"/>
      <c r="E1753" s="249"/>
      <c r="F1753" s="249"/>
    </row>
    <row r="1754" spans="1:8" ht="17.100000000000001" customHeight="1">
      <c r="A1754" s="249"/>
      <c r="B1754" s="249"/>
      <c r="C1754" s="249"/>
      <c r="D1754" s="249"/>
      <c r="E1754" s="249"/>
      <c r="F1754" s="249"/>
    </row>
    <row r="1755" spans="1:8" ht="17.100000000000001" customHeight="1">
      <c r="A1755" s="249"/>
      <c r="B1755" s="249"/>
      <c r="C1755" s="249"/>
      <c r="D1755" s="249"/>
      <c r="E1755" s="249"/>
      <c r="F1755" s="249"/>
    </row>
    <row r="1756" spans="1:8" ht="17.100000000000001" customHeight="1">
      <c r="A1756" s="249"/>
      <c r="B1756" s="249"/>
      <c r="C1756" s="249"/>
      <c r="D1756" s="249"/>
      <c r="E1756" s="249"/>
      <c r="F1756" s="249"/>
    </row>
    <row r="1757" spans="1:8" ht="17.100000000000001" customHeight="1">
      <c r="A1757" s="249"/>
      <c r="B1757" s="249"/>
      <c r="C1757" s="249"/>
      <c r="D1757" s="249"/>
      <c r="E1757" s="249"/>
      <c r="F1757" s="249"/>
    </row>
    <row r="1758" spans="1:8">
      <c r="A1758" s="249"/>
      <c r="B1758" s="249"/>
      <c r="C1758" s="249"/>
      <c r="D1758" s="249"/>
      <c r="E1758" s="249"/>
      <c r="F1758" s="249"/>
    </row>
    <row r="1759" spans="1:8">
      <c r="A1759" s="249"/>
      <c r="B1759" s="249"/>
      <c r="C1759" s="249"/>
      <c r="D1759" s="249"/>
      <c r="E1759" s="249"/>
      <c r="F1759" s="249"/>
    </row>
    <row r="1760" spans="1:8">
      <c r="D1760" s="213"/>
    </row>
    <row r="1762" spans="4:4">
      <c r="D1762" s="213"/>
    </row>
    <row r="1764" spans="4:4">
      <c r="D1764" s="213"/>
    </row>
    <row r="1766" spans="4:4">
      <c r="D1766" s="213"/>
    </row>
    <row r="1768" spans="4:4">
      <c r="D1768" s="213"/>
    </row>
    <row r="1770" spans="4:4">
      <c r="D1770" s="213"/>
    </row>
    <row r="1772" spans="4:4">
      <c r="D1772" s="213"/>
    </row>
    <row r="1774" spans="4:4">
      <c r="D1774" s="213"/>
    </row>
    <row r="1776" spans="4:4">
      <c r="D1776" s="213"/>
    </row>
  </sheetData>
  <mergeCells count="1251">
    <mergeCell ref="A1748:E1748"/>
    <mergeCell ref="A1749:E1749"/>
    <mergeCell ref="A1750:E1750"/>
    <mergeCell ref="A1742:E1742"/>
    <mergeCell ref="A1743:E1743"/>
    <mergeCell ref="A1744:E1744"/>
    <mergeCell ref="A1745:E1745"/>
    <mergeCell ref="A1746:E1746"/>
    <mergeCell ref="A1747:E1747"/>
    <mergeCell ref="A1736:E1736"/>
    <mergeCell ref="A1737:E1737"/>
    <mergeCell ref="A1738:E1738"/>
    <mergeCell ref="A1739:E1739"/>
    <mergeCell ref="A1740:E1740"/>
    <mergeCell ref="A1741:E1741"/>
    <mergeCell ref="D1726:F1726"/>
    <mergeCell ref="D1727:E1727"/>
    <mergeCell ref="D1730:F1730"/>
    <mergeCell ref="D1731:E1731"/>
    <mergeCell ref="A1734:E1734"/>
    <mergeCell ref="A1735:F1735"/>
    <mergeCell ref="D1713:E1713"/>
    <mergeCell ref="B1715:C1715"/>
    <mergeCell ref="A1716:A1733"/>
    <mergeCell ref="B1716:C1716"/>
    <mergeCell ref="B1717:C1733"/>
    <mergeCell ref="D1717:E1717"/>
    <mergeCell ref="D1718:E1718"/>
    <mergeCell ref="D1719:E1719"/>
    <mergeCell ref="D1722:F1722"/>
    <mergeCell ref="D1723:E1723"/>
    <mergeCell ref="D1706:F1706"/>
    <mergeCell ref="D1707:E1707"/>
    <mergeCell ref="D1708:E1708"/>
    <mergeCell ref="B1710:C1710"/>
    <mergeCell ref="D1711:E1711"/>
    <mergeCell ref="D1712:E1712"/>
    <mergeCell ref="B1698:C1698"/>
    <mergeCell ref="B1699:C1699"/>
    <mergeCell ref="B1700:C1700"/>
    <mergeCell ref="B1702:C1702"/>
    <mergeCell ref="D1703:F1703"/>
    <mergeCell ref="D1704:E1704"/>
    <mergeCell ref="B1692:C1692"/>
    <mergeCell ref="B1693:C1693"/>
    <mergeCell ref="B1694:C1694"/>
    <mergeCell ref="B1695:C1695"/>
    <mergeCell ref="B1696:C1696"/>
    <mergeCell ref="B1697:C1697"/>
    <mergeCell ref="D1685:F1685"/>
    <mergeCell ref="D1686:E1686"/>
    <mergeCell ref="B1688:C1688"/>
    <mergeCell ref="B1689:C1689"/>
    <mergeCell ref="B1690:C1690"/>
    <mergeCell ref="B1691:C1691"/>
    <mergeCell ref="D1679:E1679"/>
    <mergeCell ref="B1680:C1680"/>
    <mergeCell ref="B1681:C1681"/>
    <mergeCell ref="B1682:C1682"/>
    <mergeCell ref="B1683:C1683"/>
    <mergeCell ref="B1684:C1684"/>
    <mergeCell ref="D1670:E1670"/>
    <mergeCell ref="D1671:E1671"/>
    <mergeCell ref="B1675:C1675"/>
    <mergeCell ref="B1676:C1676"/>
    <mergeCell ref="D1677:E1677"/>
    <mergeCell ref="D1678:E1678"/>
    <mergeCell ref="B1658:C1658"/>
    <mergeCell ref="D1659:F1659"/>
    <mergeCell ref="D1660:E1660"/>
    <mergeCell ref="D1661:E1661"/>
    <mergeCell ref="B1663:C1663"/>
    <mergeCell ref="B1664:C1668"/>
    <mergeCell ref="D1664:E1664"/>
    <mergeCell ref="D1665:E1665"/>
    <mergeCell ref="D1666:E1666"/>
    <mergeCell ref="D1652:E1652"/>
    <mergeCell ref="D1653:E1653"/>
    <mergeCell ref="B1654:C1654"/>
    <mergeCell ref="B1655:C1655"/>
    <mergeCell ref="D1656:E1656"/>
    <mergeCell ref="D1657:E1657"/>
    <mergeCell ref="B1645:C1645"/>
    <mergeCell ref="B1646:C1648"/>
    <mergeCell ref="D1646:E1646"/>
    <mergeCell ref="D1647:E1647"/>
    <mergeCell ref="B1650:C1650"/>
    <mergeCell ref="D1651:F1651"/>
    <mergeCell ref="B1637:C1644"/>
    <mergeCell ref="D1637:E1637"/>
    <mergeCell ref="D1638:E1638"/>
    <mergeCell ref="D1641:F1641"/>
    <mergeCell ref="D1642:E1642"/>
    <mergeCell ref="D1643:E1643"/>
    <mergeCell ref="C1629:C1635"/>
    <mergeCell ref="D1629:E1629"/>
    <mergeCell ref="D1632:F1632"/>
    <mergeCell ref="D1633:E1633"/>
    <mergeCell ref="D1634:E1634"/>
    <mergeCell ref="B1636:C1636"/>
    <mergeCell ref="B1622:C1622"/>
    <mergeCell ref="B1623:C1626"/>
    <mergeCell ref="D1623:E1623"/>
    <mergeCell ref="D1624:E1624"/>
    <mergeCell ref="B1627:C1627"/>
    <mergeCell ref="D1628:E1628"/>
    <mergeCell ref="D1610:E1610"/>
    <mergeCell ref="B1612:C1612"/>
    <mergeCell ref="B1613:C1621"/>
    <mergeCell ref="D1613:E1613"/>
    <mergeCell ref="D1614:E1614"/>
    <mergeCell ref="D1617:F1617"/>
    <mergeCell ref="D1618:E1618"/>
    <mergeCell ref="D1619:E1619"/>
    <mergeCell ref="B1603:C1603"/>
    <mergeCell ref="B1604:C1606"/>
    <mergeCell ref="D1604:E1604"/>
    <mergeCell ref="D1605:E1605"/>
    <mergeCell ref="B1607:C1607"/>
    <mergeCell ref="D1609:E1609"/>
    <mergeCell ref="B1594:C1594"/>
    <mergeCell ref="B1595:C1602"/>
    <mergeCell ref="D1595:E1595"/>
    <mergeCell ref="D1596:E1596"/>
    <mergeCell ref="D1599:F1599"/>
    <mergeCell ref="D1600:E1600"/>
    <mergeCell ref="D1601:E1601"/>
    <mergeCell ref="B1586:C1586"/>
    <mergeCell ref="B1587:C1593"/>
    <mergeCell ref="D1587:E1587"/>
    <mergeCell ref="D1588:E1588"/>
    <mergeCell ref="D1590:F1590"/>
    <mergeCell ref="D1591:E1591"/>
    <mergeCell ref="B1578:C1578"/>
    <mergeCell ref="B1579:C1584"/>
    <mergeCell ref="D1579:E1579"/>
    <mergeCell ref="D1580:E1580"/>
    <mergeCell ref="D1581:E1581"/>
    <mergeCell ref="B1585:C1585"/>
    <mergeCell ref="B1569:C1569"/>
    <mergeCell ref="D1570:E1570"/>
    <mergeCell ref="C1573:C1577"/>
    <mergeCell ref="D1573:E1573"/>
    <mergeCell ref="D1574:E1574"/>
    <mergeCell ref="D1575:E1575"/>
    <mergeCell ref="D1558:E1558"/>
    <mergeCell ref="D1560:E1560"/>
    <mergeCell ref="B1563:C1563"/>
    <mergeCell ref="B1564:C1568"/>
    <mergeCell ref="D1564:E1564"/>
    <mergeCell ref="D1565:E1565"/>
    <mergeCell ref="D1566:E1566"/>
    <mergeCell ref="D1543:E1543"/>
    <mergeCell ref="D1546:E1546"/>
    <mergeCell ref="D1547:E1547"/>
    <mergeCell ref="B1549:C1549"/>
    <mergeCell ref="B1550:C1559"/>
    <mergeCell ref="D1550:E1550"/>
    <mergeCell ref="D1551:E1551"/>
    <mergeCell ref="D1552:E1552"/>
    <mergeCell ref="D1556:F1556"/>
    <mergeCell ref="D1557:E1557"/>
    <mergeCell ref="B1535:C1535"/>
    <mergeCell ref="B1536:C1536"/>
    <mergeCell ref="B1537:C1537"/>
    <mergeCell ref="B1538:C1541"/>
    <mergeCell ref="D1538:E1538"/>
    <mergeCell ref="D1539:E1539"/>
    <mergeCell ref="D1540:E1540"/>
    <mergeCell ref="B1529:C1531"/>
    <mergeCell ref="D1529:E1529"/>
    <mergeCell ref="D1530:E1530"/>
    <mergeCell ref="D1532:F1532"/>
    <mergeCell ref="D1533:E1533"/>
    <mergeCell ref="D1534:E1534"/>
    <mergeCell ref="B1523:C1523"/>
    <mergeCell ref="B1524:C1524"/>
    <mergeCell ref="B1525:C1527"/>
    <mergeCell ref="D1525:E1525"/>
    <mergeCell ref="D1526:E1526"/>
    <mergeCell ref="B1528:C1528"/>
    <mergeCell ref="B1514:C1514"/>
    <mergeCell ref="B1515:C1515"/>
    <mergeCell ref="B1516:C1516"/>
    <mergeCell ref="B1517:C1517"/>
    <mergeCell ref="B1518:C1518"/>
    <mergeCell ref="B1522:C1522"/>
    <mergeCell ref="B1508:C1508"/>
    <mergeCell ref="B1509:C1509"/>
    <mergeCell ref="B1510:C1510"/>
    <mergeCell ref="B1511:C1511"/>
    <mergeCell ref="B1512:C1512"/>
    <mergeCell ref="B1513:C1513"/>
    <mergeCell ref="B1497:C1497"/>
    <mergeCell ref="B1498:C1503"/>
    <mergeCell ref="D1501:F1501"/>
    <mergeCell ref="D1502:E1502"/>
    <mergeCell ref="B1504:C1504"/>
    <mergeCell ref="B1505:C1507"/>
    <mergeCell ref="D1505:E1505"/>
    <mergeCell ref="D1506:E1506"/>
    <mergeCell ref="B1491:C1491"/>
    <mergeCell ref="D1492:F1492"/>
    <mergeCell ref="D1493:E1493"/>
    <mergeCell ref="B1494:C1494"/>
    <mergeCell ref="B1495:C1495"/>
    <mergeCell ref="B1496:C1496"/>
    <mergeCell ref="D1485:E1485"/>
    <mergeCell ref="D1486:E1486"/>
    <mergeCell ref="D1487:E1487"/>
    <mergeCell ref="B1488:C1488"/>
    <mergeCell ref="B1489:C1489"/>
    <mergeCell ref="B1490:C1490"/>
    <mergeCell ref="B1477:C1477"/>
    <mergeCell ref="B1478:C1478"/>
    <mergeCell ref="B1479:C1479"/>
    <mergeCell ref="B1480:C1480"/>
    <mergeCell ref="B1483:C1483"/>
    <mergeCell ref="B1484:C1484"/>
    <mergeCell ref="B1471:C1471"/>
    <mergeCell ref="B1472:C1472"/>
    <mergeCell ref="B1473:C1473"/>
    <mergeCell ref="B1474:C1474"/>
    <mergeCell ref="B1475:C1475"/>
    <mergeCell ref="B1476:C1476"/>
    <mergeCell ref="B1465:C1465"/>
    <mergeCell ref="B1466:C1466"/>
    <mergeCell ref="B1467:C1467"/>
    <mergeCell ref="B1468:C1468"/>
    <mergeCell ref="B1469:C1469"/>
    <mergeCell ref="B1470:C1470"/>
    <mergeCell ref="B1457:C1457"/>
    <mergeCell ref="B1458:C1458"/>
    <mergeCell ref="B1459:C1459"/>
    <mergeCell ref="B1460:C1460"/>
    <mergeCell ref="B1463:C1463"/>
    <mergeCell ref="B1464:C1464"/>
    <mergeCell ref="B1451:C1451"/>
    <mergeCell ref="B1452:C1452"/>
    <mergeCell ref="B1453:C1453"/>
    <mergeCell ref="B1454:C1454"/>
    <mergeCell ref="B1455:C1455"/>
    <mergeCell ref="B1456:C1456"/>
    <mergeCell ref="B1445:C1445"/>
    <mergeCell ref="B1446:C1446"/>
    <mergeCell ref="B1447:C1447"/>
    <mergeCell ref="B1448:C1448"/>
    <mergeCell ref="B1449:C1449"/>
    <mergeCell ref="B1450:C1450"/>
    <mergeCell ref="D1433:E1433"/>
    <mergeCell ref="B1438:C1438"/>
    <mergeCell ref="B1439:C1444"/>
    <mergeCell ref="D1439:E1439"/>
    <mergeCell ref="D1440:E1440"/>
    <mergeCell ref="D1443:F1443"/>
    <mergeCell ref="D1444:E1444"/>
    <mergeCell ref="B1422:C1422"/>
    <mergeCell ref="D1423:F1423"/>
    <mergeCell ref="D1424:E1424"/>
    <mergeCell ref="D1425:E1425"/>
    <mergeCell ref="B1426:C1426"/>
    <mergeCell ref="D1432:F1432"/>
    <mergeCell ref="B1414:C1414"/>
    <mergeCell ref="B1415:C1415"/>
    <mergeCell ref="B1416:C1416"/>
    <mergeCell ref="B1417:C1417"/>
    <mergeCell ref="B1418:C1418"/>
    <mergeCell ref="B1421:C1421"/>
    <mergeCell ref="B1408:C1408"/>
    <mergeCell ref="B1409:C1409"/>
    <mergeCell ref="B1410:C1410"/>
    <mergeCell ref="B1411:C1411"/>
    <mergeCell ref="B1412:C1412"/>
    <mergeCell ref="B1413:C1413"/>
    <mergeCell ref="B1402:C1402"/>
    <mergeCell ref="B1403:C1403"/>
    <mergeCell ref="B1404:C1404"/>
    <mergeCell ref="B1405:C1405"/>
    <mergeCell ref="B1406:C1406"/>
    <mergeCell ref="B1407:C1407"/>
    <mergeCell ref="B1396:C1396"/>
    <mergeCell ref="B1397:C1397"/>
    <mergeCell ref="B1398:C1398"/>
    <mergeCell ref="B1399:C1399"/>
    <mergeCell ref="B1400:C1400"/>
    <mergeCell ref="B1401:C1401"/>
    <mergeCell ref="D1388:E1388"/>
    <mergeCell ref="B1391:C1391"/>
    <mergeCell ref="B1392:C1392"/>
    <mergeCell ref="B1393:C1393"/>
    <mergeCell ref="B1394:C1394"/>
    <mergeCell ref="B1395:C1395"/>
    <mergeCell ref="D1365:F1365"/>
    <mergeCell ref="B1366:C1366"/>
    <mergeCell ref="D1366:E1366"/>
    <mergeCell ref="D1383:F1383"/>
    <mergeCell ref="D1384:E1384"/>
    <mergeCell ref="D1387:F1387"/>
    <mergeCell ref="B1354:C1354"/>
    <mergeCell ref="B1355:C1355"/>
    <mergeCell ref="B1356:C1356"/>
    <mergeCell ref="D1357:E1357"/>
    <mergeCell ref="D1358:E1358"/>
    <mergeCell ref="D1359:E1359"/>
    <mergeCell ref="D1344:E1344"/>
    <mergeCell ref="D1346:F1346"/>
    <mergeCell ref="D1347:E1347"/>
    <mergeCell ref="B1349:C1349"/>
    <mergeCell ref="B1350:C1350"/>
    <mergeCell ref="B1351:C1353"/>
    <mergeCell ref="D1351:E1351"/>
    <mergeCell ref="D1352:E1352"/>
    <mergeCell ref="D1301:F1301"/>
    <mergeCell ref="D1302:E1302"/>
    <mergeCell ref="B1304:C1304"/>
    <mergeCell ref="B1305:C1348"/>
    <mergeCell ref="D1305:E1305"/>
    <mergeCell ref="D1306:E1306"/>
    <mergeCell ref="E1309:F1309"/>
    <mergeCell ref="D1310:E1310"/>
    <mergeCell ref="D1342:F1342"/>
    <mergeCell ref="D1343:E1343"/>
    <mergeCell ref="B1291:C1291"/>
    <mergeCell ref="B1292:C1292"/>
    <mergeCell ref="B1293:C1293"/>
    <mergeCell ref="B1294:C1294"/>
    <mergeCell ref="B1295:C1295"/>
    <mergeCell ref="B1296:C1303"/>
    <mergeCell ref="B1282:C1282"/>
    <mergeCell ref="D1284:F1284"/>
    <mergeCell ref="D1285:E1285"/>
    <mergeCell ref="B1287:C1287"/>
    <mergeCell ref="B1288:C1288"/>
    <mergeCell ref="B1290:C1290"/>
    <mergeCell ref="B1275:C1275"/>
    <mergeCell ref="D1276:E1276"/>
    <mergeCell ref="D1277:E1277"/>
    <mergeCell ref="D1278:E1278"/>
    <mergeCell ref="B1279:C1279"/>
    <mergeCell ref="B1281:C1281"/>
    <mergeCell ref="B1268:C1270"/>
    <mergeCell ref="D1268:E1268"/>
    <mergeCell ref="D1269:E1269"/>
    <mergeCell ref="B1271:C1271"/>
    <mergeCell ref="B1272:C1274"/>
    <mergeCell ref="D1272:E1272"/>
    <mergeCell ref="D1273:E1273"/>
    <mergeCell ref="D1260:E1260"/>
    <mergeCell ref="D1263:F1263"/>
    <mergeCell ref="D1264:E1264"/>
    <mergeCell ref="D1265:E1265"/>
    <mergeCell ref="B1266:C1266"/>
    <mergeCell ref="B1267:C1267"/>
    <mergeCell ref="B1251:C1251"/>
    <mergeCell ref="B1252:C1252"/>
    <mergeCell ref="B1255:C1255"/>
    <mergeCell ref="D1256:F1256"/>
    <mergeCell ref="D1257:E1257"/>
    <mergeCell ref="D1259:F1259"/>
    <mergeCell ref="B1244:C1244"/>
    <mergeCell ref="B1245:C1245"/>
    <mergeCell ref="B1246:C1246"/>
    <mergeCell ref="B1248:C1248"/>
    <mergeCell ref="B1249:C1249"/>
    <mergeCell ref="B1250:C1250"/>
    <mergeCell ref="B1236:C1236"/>
    <mergeCell ref="D1238:F1238"/>
    <mergeCell ref="D1239:E1239"/>
    <mergeCell ref="B1241:C1241"/>
    <mergeCell ref="B1242:C1242"/>
    <mergeCell ref="B1243:C1243"/>
    <mergeCell ref="D1230:E1230"/>
    <mergeCell ref="D1231:E1231"/>
    <mergeCell ref="D1232:E1232"/>
    <mergeCell ref="B1233:C1233"/>
    <mergeCell ref="B1234:C1234"/>
    <mergeCell ref="B1235:C1235"/>
    <mergeCell ref="B1222:C1222"/>
    <mergeCell ref="D1223:F1223"/>
    <mergeCell ref="D1224:E1224"/>
    <mergeCell ref="D1226:F1226"/>
    <mergeCell ref="D1227:E1227"/>
    <mergeCell ref="B1229:C1229"/>
    <mergeCell ref="B1214:C1214"/>
    <mergeCell ref="B1215:C1215"/>
    <mergeCell ref="B1216:C1216"/>
    <mergeCell ref="B1217:C1217"/>
    <mergeCell ref="B1218:C1218"/>
    <mergeCell ref="B1221:C1221"/>
    <mergeCell ref="D1207:E1207"/>
    <mergeCell ref="B1209:C1209"/>
    <mergeCell ref="B1210:C1210"/>
    <mergeCell ref="B1211:C1211"/>
    <mergeCell ref="B1212:C1212"/>
    <mergeCell ref="B1213:C1213"/>
    <mergeCell ref="D1200:E1200"/>
    <mergeCell ref="B1201:C1201"/>
    <mergeCell ref="B1202:C1202"/>
    <mergeCell ref="B1203:C1203"/>
    <mergeCell ref="B1204:C1204"/>
    <mergeCell ref="D1206:F1206"/>
    <mergeCell ref="C1194:C1196"/>
    <mergeCell ref="D1194:E1194"/>
    <mergeCell ref="D1195:E1195"/>
    <mergeCell ref="B1197:C1197"/>
    <mergeCell ref="D1198:E1198"/>
    <mergeCell ref="D1199:E1199"/>
    <mergeCell ref="B1183:C1183"/>
    <mergeCell ref="D1185:E1185"/>
    <mergeCell ref="B1188:C1188"/>
    <mergeCell ref="C1190:C1192"/>
    <mergeCell ref="D1190:E1190"/>
    <mergeCell ref="D1191:E1191"/>
    <mergeCell ref="D1176:E1176"/>
    <mergeCell ref="D1177:E1177"/>
    <mergeCell ref="B1178:C1178"/>
    <mergeCell ref="B1179:C1179"/>
    <mergeCell ref="D1181:F1181"/>
    <mergeCell ref="D1182:E1182"/>
    <mergeCell ref="B1170:C1173"/>
    <mergeCell ref="D1170:E1170"/>
    <mergeCell ref="D1171:E1171"/>
    <mergeCell ref="D1172:E1172"/>
    <mergeCell ref="B1174:C1174"/>
    <mergeCell ref="D1175:E1175"/>
    <mergeCell ref="D1161:F1161"/>
    <mergeCell ref="D1162:E1162"/>
    <mergeCell ref="D1165:F1165"/>
    <mergeCell ref="D1166:E1166"/>
    <mergeCell ref="D1167:E1167"/>
    <mergeCell ref="B1169:C1169"/>
    <mergeCell ref="B1155:C1155"/>
    <mergeCell ref="D1156:E1156"/>
    <mergeCell ref="D1157:E1157"/>
    <mergeCell ref="D1158:E1158"/>
    <mergeCell ref="B1159:C1159"/>
    <mergeCell ref="B1160:C1160"/>
    <mergeCell ref="D1148:E1148"/>
    <mergeCell ref="D1149:E1149"/>
    <mergeCell ref="B1151:C1151"/>
    <mergeCell ref="B1152:C1154"/>
    <mergeCell ref="D1152:E1152"/>
    <mergeCell ref="D1153:E1153"/>
    <mergeCell ref="D1140:E1140"/>
    <mergeCell ref="B1141:C1145"/>
    <mergeCell ref="D1141:E1141"/>
    <mergeCell ref="D1143:F1143"/>
    <mergeCell ref="D1144:E1144"/>
    <mergeCell ref="D1147:E1147"/>
    <mergeCell ref="B1134:C1134"/>
    <mergeCell ref="B1135:C1137"/>
    <mergeCell ref="D1135:E1135"/>
    <mergeCell ref="D1136:E1136"/>
    <mergeCell ref="B1138:C1138"/>
    <mergeCell ref="D1139:E1139"/>
    <mergeCell ref="C1123:C1133"/>
    <mergeCell ref="D1123:E1123"/>
    <mergeCell ref="D1124:E1124"/>
    <mergeCell ref="D1126:F1126"/>
    <mergeCell ref="D1127:E1127"/>
    <mergeCell ref="D1128:E1128"/>
    <mergeCell ref="D1131:E1131"/>
    <mergeCell ref="D1132:E1132"/>
    <mergeCell ref="C1111:C1113"/>
    <mergeCell ref="D1111:E1111"/>
    <mergeCell ref="D1112:E1112"/>
    <mergeCell ref="C1115:C1121"/>
    <mergeCell ref="D1115:E1115"/>
    <mergeCell ref="D1116:E1116"/>
    <mergeCell ref="D1118:F1118"/>
    <mergeCell ref="D1119:E1119"/>
    <mergeCell ref="D1120:E1120"/>
    <mergeCell ref="B1100:C1100"/>
    <mergeCell ref="B1101:C1101"/>
    <mergeCell ref="B1102:C1108"/>
    <mergeCell ref="D1102:E1102"/>
    <mergeCell ref="D1103:E1103"/>
    <mergeCell ref="D1105:F1105"/>
    <mergeCell ref="D1106:E1106"/>
    <mergeCell ref="D1107:E1107"/>
    <mergeCell ref="B1092:C1094"/>
    <mergeCell ref="D1092:E1092"/>
    <mergeCell ref="D1093:E1093"/>
    <mergeCell ref="B1095:C1095"/>
    <mergeCell ref="B1096:C1099"/>
    <mergeCell ref="D1096:E1096"/>
    <mergeCell ref="D1097:E1097"/>
    <mergeCell ref="D1098:E1098"/>
    <mergeCell ref="B1084:C1084"/>
    <mergeCell ref="B1085:C1085"/>
    <mergeCell ref="B1086:C1086"/>
    <mergeCell ref="D1088:E1088"/>
    <mergeCell ref="D1089:E1089"/>
    <mergeCell ref="B1091:C1091"/>
    <mergeCell ref="B1076:C1076"/>
    <mergeCell ref="B1077:C1077"/>
    <mergeCell ref="B1078:C1078"/>
    <mergeCell ref="D1081:F1081"/>
    <mergeCell ref="D1082:E1082"/>
    <mergeCell ref="D1083:E1083"/>
    <mergeCell ref="B1068:C1068"/>
    <mergeCell ref="B1069:C1069"/>
    <mergeCell ref="B1070:C1070"/>
    <mergeCell ref="B1073:C1073"/>
    <mergeCell ref="B1074:C1074"/>
    <mergeCell ref="B1075:C1075"/>
    <mergeCell ref="B1062:C1062"/>
    <mergeCell ref="B1063:C1063"/>
    <mergeCell ref="B1064:C1064"/>
    <mergeCell ref="B1065:C1065"/>
    <mergeCell ref="B1066:C1066"/>
    <mergeCell ref="B1067:C1067"/>
    <mergeCell ref="B1054:C1054"/>
    <mergeCell ref="B1057:C1057"/>
    <mergeCell ref="B1058:C1058"/>
    <mergeCell ref="B1059:C1059"/>
    <mergeCell ref="B1060:C1060"/>
    <mergeCell ref="B1061:C1061"/>
    <mergeCell ref="D1041:E1041"/>
    <mergeCell ref="D1044:F1044"/>
    <mergeCell ref="D1045:E1045"/>
    <mergeCell ref="D1049:F1049"/>
    <mergeCell ref="D1050:E1050"/>
    <mergeCell ref="B1053:C1053"/>
    <mergeCell ref="D1029:E1029"/>
    <mergeCell ref="D1030:E1030"/>
    <mergeCell ref="B1031:C1031"/>
    <mergeCell ref="D1035:F1035"/>
    <mergeCell ref="D1036:E1036"/>
    <mergeCell ref="D1040:F1040"/>
    <mergeCell ref="D1021:E1021"/>
    <mergeCell ref="D1023:F1023"/>
    <mergeCell ref="D1024:E1024"/>
    <mergeCell ref="D1025:E1025"/>
    <mergeCell ref="B1027:C1027"/>
    <mergeCell ref="D1028:E1028"/>
    <mergeCell ref="B1014:C1014"/>
    <mergeCell ref="B1015:C1015"/>
    <mergeCell ref="B1016:C1016"/>
    <mergeCell ref="B1017:C1017"/>
    <mergeCell ref="B1019:C1019"/>
    <mergeCell ref="D1020:F1020"/>
    <mergeCell ref="B1007:C1007"/>
    <mergeCell ref="B1008:C1008"/>
    <mergeCell ref="B1009:C1009"/>
    <mergeCell ref="B1010:C1010"/>
    <mergeCell ref="B1011:C1011"/>
    <mergeCell ref="B1013:C1013"/>
    <mergeCell ref="B1000:C1000"/>
    <mergeCell ref="B1001:C1001"/>
    <mergeCell ref="B1002:C1002"/>
    <mergeCell ref="D1003:F1003"/>
    <mergeCell ref="D1004:E1004"/>
    <mergeCell ref="B1006:C1006"/>
    <mergeCell ref="B994:C994"/>
    <mergeCell ref="D995:E995"/>
    <mergeCell ref="D996:E996"/>
    <mergeCell ref="D997:E997"/>
    <mergeCell ref="B998:C998"/>
    <mergeCell ref="B999:C999"/>
    <mergeCell ref="B985:C985"/>
    <mergeCell ref="B986:C986"/>
    <mergeCell ref="B988:C988"/>
    <mergeCell ref="B989:C989"/>
    <mergeCell ref="B990:C990"/>
    <mergeCell ref="B992:C992"/>
    <mergeCell ref="B976:C976"/>
    <mergeCell ref="B979:C979"/>
    <mergeCell ref="B980:C980"/>
    <mergeCell ref="B981:C981"/>
    <mergeCell ref="B982:C982"/>
    <mergeCell ref="B983:C983"/>
    <mergeCell ref="B970:C970"/>
    <mergeCell ref="B971:C971"/>
    <mergeCell ref="B972:C972"/>
    <mergeCell ref="B973:C973"/>
    <mergeCell ref="B974:C974"/>
    <mergeCell ref="B975:C975"/>
    <mergeCell ref="D948:E948"/>
    <mergeCell ref="D960:F960"/>
    <mergeCell ref="B961:C961"/>
    <mergeCell ref="D961:E961"/>
    <mergeCell ref="D964:E964"/>
    <mergeCell ref="B969:C969"/>
    <mergeCell ref="B938:C938"/>
    <mergeCell ref="D939:E939"/>
    <mergeCell ref="D940:E940"/>
    <mergeCell ref="D941:E941"/>
    <mergeCell ref="B942:C942"/>
    <mergeCell ref="D947:F947"/>
    <mergeCell ref="B930:C930"/>
    <mergeCell ref="B931:C931"/>
    <mergeCell ref="B932:C932"/>
    <mergeCell ref="B934:C937"/>
    <mergeCell ref="D935:F935"/>
    <mergeCell ref="D936:E936"/>
    <mergeCell ref="B923:C923"/>
    <mergeCell ref="B924:C924"/>
    <mergeCell ref="B926:C926"/>
    <mergeCell ref="B927:C927"/>
    <mergeCell ref="B928:C928"/>
    <mergeCell ref="B929:C929"/>
    <mergeCell ref="B916:C916"/>
    <mergeCell ref="B917:C917"/>
    <mergeCell ref="B918:C918"/>
    <mergeCell ref="B919:C919"/>
    <mergeCell ref="D920:F920"/>
    <mergeCell ref="D921:E921"/>
    <mergeCell ref="D909:E909"/>
    <mergeCell ref="B911:C911"/>
    <mergeCell ref="D912:E912"/>
    <mergeCell ref="D913:E913"/>
    <mergeCell ref="D914:E914"/>
    <mergeCell ref="B915:C915"/>
    <mergeCell ref="B900:C900"/>
    <mergeCell ref="B902:C902"/>
    <mergeCell ref="D903:F903"/>
    <mergeCell ref="D904:E904"/>
    <mergeCell ref="D907:F907"/>
    <mergeCell ref="D908:E908"/>
    <mergeCell ref="B893:C893"/>
    <mergeCell ref="B895:C895"/>
    <mergeCell ref="B896:C896"/>
    <mergeCell ref="B897:C897"/>
    <mergeCell ref="B898:C898"/>
    <mergeCell ref="B899:C899"/>
    <mergeCell ref="D886:E886"/>
    <mergeCell ref="B888:C888"/>
    <mergeCell ref="B889:C889"/>
    <mergeCell ref="B890:C890"/>
    <mergeCell ref="B891:C891"/>
    <mergeCell ref="B892:C892"/>
    <mergeCell ref="B881:C881"/>
    <mergeCell ref="B882:C882"/>
    <mergeCell ref="B883:C883"/>
    <mergeCell ref="B884:C884"/>
    <mergeCell ref="B885:C885"/>
    <mergeCell ref="D885:F885"/>
    <mergeCell ref="D874:E874"/>
    <mergeCell ref="B876:C876"/>
    <mergeCell ref="D877:E877"/>
    <mergeCell ref="D878:E878"/>
    <mergeCell ref="D879:E879"/>
    <mergeCell ref="B880:C880"/>
    <mergeCell ref="D856:F856"/>
    <mergeCell ref="D857:E857"/>
    <mergeCell ref="B859:C859"/>
    <mergeCell ref="B860:C875"/>
    <mergeCell ref="D860:E860"/>
    <mergeCell ref="D861:E861"/>
    <mergeCell ref="D862:E862"/>
    <mergeCell ref="D867:F867"/>
    <mergeCell ref="D868:E868"/>
    <mergeCell ref="D873:F873"/>
    <mergeCell ref="B838:C841"/>
    <mergeCell ref="D839:F839"/>
    <mergeCell ref="D840:E840"/>
    <mergeCell ref="B842:C842"/>
    <mergeCell ref="B843:C858"/>
    <mergeCell ref="D843:E843"/>
    <mergeCell ref="D844:E844"/>
    <mergeCell ref="D845:E845"/>
    <mergeCell ref="D850:F850"/>
    <mergeCell ref="D851:E851"/>
    <mergeCell ref="B831:C831"/>
    <mergeCell ref="B832:C832"/>
    <mergeCell ref="B833:C833"/>
    <mergeCell ref="B834:C834"/>
    <mergeCell ref="B836:C836"/>
    <mergeCell ref="B837:C837"/>
    <mergeCell ref="B825:C825"/>
    <mergeCell ref="B826:C826"/>
    <mergeCell ref="D827:F827"/>
    <mergeCell ref="D828:E828"/>
    <mergeCell ref="B829:C829"/>
    <mergeCell ref="B830:C830"/>
    <mergeCell ref="B819:C819"/>
    <mergeCell ref="D820:E820"/>
    <mergeCell ref="D821:E821"/>
    <mergeCell ref="D822:E822"/>
    <mergeCell ref="B823:C823"/>
    <mergeCell ref="B824:C824"/>
    <mergeCell ref="B810:C810"/>
    <mergeCell ref="C812:C818"/>
    <mergeCell ref="D812:E812"/>
    <mergeCell ref="D813:E813"/>
    <mergeCell ref="D815:F815"/>
    <mergeCell ref="D816:E816"/>
    <mergeCell ref="D817:E817"/>
    <mergeCell ref="D803:E803"/>
    <mergeCell ref="C804:C809"/>
    <mergeCell ref="D804:E804"/>
    <mergeCell ref="D806:F806"/>
    <mergeCell ref="D807:E807"/>
    <mergeCell ref="D808:E808"/>
    <mergeCell ref="B797:C799"/>
    <mergeCell ref="D797:E797"/>
    <mergeCell ref="D798:E798"/>
    <mergeCell ref="B800:C800"/>
    <mergeCell ref="B801:C801"/>
    <mergeCell ref="D802:E802"/>
    <mergeCell ref="B791:C791"/>
    <mergeCell ref="B792:C792"/>
    <mergeCell ref="B793:C795"/>
    <mergeCell ref="D793:E793"/>
    <mergeCell ref="D794:E794"/>
    <mergeCell ref="B796:C796"/>
    <mergeCell ref="C784:C786"/>
    <mergeCell ref="D784:E784"/>
    <mergeCell ref="D785:E785"/>
    <mergeCell ref="B787:C787"/>
    <mergeCell ref="B788:C790"/>
    <mergeCell ref="D788:E788"/>
    <mergeCell ref="D789:E789"/>
    <mergeCell ref="B775:C775"/>
    <mergeCell ref="B776:C782"/>
    <mergeCell ref="D776:E776"/>
    <mergeCell ref="D777:E777"/>
    <mergeCell ref="D779:F779"/>
    <mergeCell ref="D780:E780"/>
    <mergeCell ref="D781:E781"/>
    <mergeCell ref="B766:C766"/>
    <mergeCell ref="B767:C767"/>
    <mergeCell ref="B768:C774"/>
    <mergeCell ref="D768:E768"/>
    <mergeCell ref="D769:E769"/>
    <mergeCell ref="D771:F771"/>
    <mergeCell ref="D772:E772"/>
    <mergeCell ref="D773:E773"/>
    <mergeCell ref="D755:F755"/>
    <mergeCell ref="D756:E756"/>
    <mergeCell ref="B760:C760"/>
    <mergeCell ref="B761:C761"/>
    <mergeCell ref="B762:C765"/>
    <mergeCell ref="D762:E762"/>
    <mergeCell ref="D763:E763"/>
    <mergeCell ref="D764:E764"/>
    <mergeCell ref="D715:E715"/>
    <mergeCell ref="D717:F717"/>
    <mergeCell ref="D718:E718"/>
    <mergeCell ref="D749:F749"/>
    <mergeCell ref="D750:E750"/>
    <mergeCell ref="D751:E751"/>
    <mergeCell ref="B695:C695"/>
    <mergeCell ref="B696:C759"/>
    <mergeCell ref="D696:E696"/>
    <mergeCell ref="D697:E697"/>
    <mergeCell ref="D698:E698"/>
    <mergeCell ref="D701:F701"/>
    <mergeCell ref="D702:E702"/>
    <mergeCell ref="D711:F711"/>
    <mergeCell ref="D712:E712"/>
    <mergeCell ref="D714:F714"/>
    <mergeCell ref="D686:F686"/>
    <mergeCell ref="D687:E687"/>
    <mergeCell ref="D688:E688"/>
    <mergeCell ref="C691:C694"/>
    <mergeCell ref="D691:E691"/>
    <mergeCell ref="D692:E692"/>
    <mergeCell ref="D693:E693"/>
    <mergeCell ref="B669:C689"/>
    <mergeCell ref="D669:E669"/>
    <mergeCell ref="D670:E670"/>
    <mergeCell ref="D671:E671"/>
    <mergeCell ref="D673:F673"/>
    <mergeCell ref="D674:E674"/>
    <mergeCell ref="D680:F680"/>
    <mergeCell ref="D681:E681"/>
    <mergeCell ref="D683:F683"/>
    <mergeCell ref="D684:E684"/>
    <mergeCell ref="B663:C663"/>
    <mergeCell ref="B664:C664"/>
    <mergeCell ref="B665:C665"/>
    <mergeCell ref="B666:C666"/>
    <mergeCell ref="B667:C667"/>
    <mergeCell ref="B668:C668"/>
    <mergeCell ref="B657:C657"/>
    <mergeCell ref="B658:C658"/>
    <mergeCell ref="B659:C659"/>
    <mergeCell ref="B660:C660"/>
    <mergeCell ref="B661:C661"/>
    <mergeCell ref="B662:C662"/>
    <mergeCell ref="B651:C651"/>
    <mergeCell ref="B652:C652"/>
    <mergeCell ref="B653:C653"/>
    <mergeCell ref="B654:C654"/>
    <mergeCell ref="B655:C655"/>
    <mergeCell ref="B656:C656"/>
    <mergeCell ref="B645:C645"/>
    <mergeCell ref="B646:C646"/>
    <mergeCell ref="B647:C647"/>
    <mergeCell ref="B648:C648"/>
    <mergeCell ref="B649:C649"/>
    <mergeCell ref="B650:C650"/>
    <mergeCell ref="B638:C641"/>
    <mergeCell ref="D638:E638"/>
    <mergeCell ref="D639:E639"/>
    <mergeCell ref="B642:C642"/>
    <mergeCell ref="B643:C643"/>
    <mergeCell ref="B644:C644"/>
    <mergeCell ref="B632:C632"/>
    <mergeCell ref="D633:F633"/>
    <mergeCell ref="D634:E634"/>
    <mergeCell ref="B635:C635"/>
    <mergeCell ref="B636:C636"/>
    <mergeCell ref="B637:C637"/>
    <mergeCell ref="B617:C617"/>
    <mergeCell ref="B619:C625"/>
    <mergeCell ref="D622:F622"/>
    <mergeCell ref="D623:E623"/>
    <mergeCell ref="B626:C626"/>
    <mergeCell ref="B627:C631"/>
    <mergeCell ref="D627:E627"/>
    <mergeCell ref="D628:E628"/>
    <mergeCell ref="D629:E629"/>
    <mergeCell ref="B606:C606"/>
    <mergeCell ref="B612:C612"/>
    <mergeCell ref="B613:C613"/>
    <mergeCell ref="D614:F614"/>
    <mergeCell ref="D615:E615"/>
    <mergeCell ref="D616:E616"/>
    <mergeCell ref="B597:C597"/>
    <mergeCell ref="B600:C600"/>
    <mergeCell ref="B602:C602"/>
    <mergeCell ref="B603:C603"/>
    <mergeCell ref="B604:C604"/>
    <mergeCell ref="B605:C605"/>
    <mergeCell ref="B587:C587"/>
    <mergeCell ref="B589:C589"/>
    <mergeCell ref="B590:C590"/>
    <mergeCell ref="B591:C591"/>
    <mergeCell ref="B595:C595"/>
    <mergeCell ref="B596:C596"/>
    <mergeCell ref="B581:C581"/>
    <mergeCell ref="B582:C582"/>
    <mergeCell ref="B583:C583"/>
    <mergeCell ref="B584:C584"/>
    <mergeCell ref="B585:C585"/>
    <mergeCell ref="B586:C586"/>
    <mergeCell ref="D571:E571"/>
    <mergeCell ref="D573:F573"/>
    <mergeCell ref="D574:E574"/>
    <mergeCell ref="B577:C577"/>
    <mergeCell ref="B579:C579"/>
    <mergeCell ref="B580:C580"/>
    <mergeCell ref="D542:E542"/>
    <mergeCell ref="D543:E543"/>
    <mergeCell ref="D544:E544"/>
    <mergeCell ref="D550:F550"/>
    <mergeCell ref="D551:E551"/>
    <mergeCell ref="D570:F570"/>
    <mergeCell ref="D534:E534"/>
    <mergeCell ref="B535:C535"/>
    <mergeCell ref="B536:C536"/>
    <mergeCell ref="B537:C537"/>
    <mergeCell ref="D538:F538"/>
    <mergeCell ref="D539:E539"/>
    <mergeCell ref="B528:C528"/>
    <mergeCell ref="D529:E529"/>
    <mergeCell ref="D530:E530"/>
    <mergeCell ref="D531:E531"/>
    <mergeCell ref="B532:C532"/>
    <mergeCell ref="D533:F533"/>
    <mergeCell ref="B522:C522"/>
    <mergeCell ref="B523:C523"/>
    <mergeCell ref="B524:C524"/>
    <mergeCell ref="B525:C525"/>
    <mergeCell ref="B526:C526"/>
    <mergeCell ref="B527:C527"/>
    <mergeCell ref="B515:C515"/>
    <mergeCell ref="B516:C516"/>
    <mergeCell ref="D517:F517"/>
    <mergeCell ref="D518:E518"/>
    <mergeCell ref="B520:C520"/>
    <mergeCell ref="B521:C521"/>
    <mergeCell ref="B508:C508"/>
    <mergeCell ref="B509:C513"/>
    <mergeCell ref="D509:E509"/>
    <mergeCell ref="D510:E510"/>
    <mergeCell ref="D511:E511"/>
    <mergeCell ref="B514:C514"/>
    <mergeCell ref="D501:E501"/>
    <mergeCell ref="D502:E502"/>
    <mergeCell ref="B503:C506"/>
    <mergeCell ref="D504:F504"/>
    <mergeCell ref="D505:E505"/>
    <mergeCell ref="B507:C507"/>
    <mergeCell ref="B494:C494"/>
    <mergeCell ref="B495:C495"/>
    <mergeCell ref="B496:C496"/>
    <mergeCell ref="B497:C497"/>
    <mergeCell ref="B498:C498"/>
    <mergeCell ref="B499:C499"/>
    <mergeCell ref="B489:C489"/>
    <mergeCell ref="B490:C490"/>
    <mergeCell ref="B491:C492"/>
    <mergeCell ref="D491:E491"/>
    <mergeCell ref="D492:E492"/>
    <mergeCell ref="B493:C493"/>
    <mergeCell ref="B478:C478"/>
    <mergeCell ref="B479:C479"/>
    <mergeCell ref="B480:C486"/>
    <mergeCell ref="D480:E480"/>
    <mergeCell ref="D481:E481"/>
    <mergeCell ref="D482:E482"/>
    <mergeCell ref="B470:C477"/>
    <mergeCell ref="D470:E470"/>
    <mergeCell ref="D471:E471"/>
    <mergeCell ref="D472:E472"/>
    <mergeCell ref="D474:F474"/>
    <mergeCell ref="D475:E475"/>
    <mergeCell ref="D476:E476"/>
    <mergeCell ref="B463:C463"/>
    <mergeCell ref="B464:C464"/>
    <mergeCell ref="B465:C465"/>
    <mergeCell ref="D466:F466"/>
    <mergeCell ref="D467:E467"/>
    <mergeCell ref="B469:C469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D452:F452"/>
    <mergeCell ref="D453:E453"/>
    <mergeCell ref="B454:C454"/>
    <mergeCell ref="B455:C455"/>
    <mergeCell ref="D444:E444"/>
    <mergeCell ref="D445:E445"/>
    <mergeCell ref="D446:E446"/>
    <mergeCell ref="B447:C447"/>
    <mergeCell ref="B448:C448"/>
    <mergeCell ref="B449:C449"/>
    <mergeCell ref="B438:C438"/>
    <mergeCell ref="B439:C442"/>
    <mergeCell ref="D439:E439"/>
    <mergeCell ref="D440:E440"/>
    <mergeCell ref="D441:E441"/>
    <mergeCell ref="B443:C443"/>
    <mergeCell ref="B431:C431"/>
    <mergeCell ref="B432:C432"/>
    <mergeCell ref="B433:C433"/>
    <mergeCell ref="B434:C434"/>
    <mergeCell ref="D435:F435"/>
    <mergeCell ref="D436:E436"/>
    <mergeCell ref="B425:C425"/>
    <mergeCell ref="B426:C426"/>
    <mergeCell ref="B427:C427"/>
    <mergeCell ref="B428:C428"/>
    <mergeCell ref="B429:C429"/>
    <mergeCell ref="B430:C430"/>
    <mergeCell ref="D419:E419"/>
    <mergeCell ref="B420:C420"/>
    <mergeCell ref="B421:C421"/>
    <mergeCell ref="B422:C422"/>
    <mergeCell ref="B423:C423"/>
    <mergeCell ref="B424:C424"/>
    <mergeCell ref="B413:C413"/>
    <mergeCell ref="B414:C414"/>
    <mergeCell ref="B415:C415"/>
    <mergeCell ref="B416:C416"/>
    <mergeCell ref="B417:C417"/>
    <mergeCell ref="D418:F418"/>
    <mergeCell ref="B407:C407"/>
    <mergeCell ref="B408:C408"/>
    <mergeCell ref="B409:C409"/>
    <mergeCell ref="D410:E410"/>
    <mergeCell ref="D411:E411"/>
    <mergeCell ref="D412:E412"/>
    <mergeCell ref="B399:C399"/>
    <mergeCell ref="B400:C400"/>
    <mergeCell ref="B401:C401"/>
    <mergeCell ref="B402:C402"/>
    <mergeCell ref="B403:C403"/>
    <mergeCell ref="B404:C404"/>
    <mergeCell ref="B393:C393"/>
    <mergeCell ref="B394:C394"/>
    <mergeCell ref="D395:E395"/>
    <mergeCell ref="D396:E396"/>
    <mergeCell ref="D397:E397"/>
    <mergeCell ref="B398:C398"/>
    <mergeCell ref="B359:C392"/>
    <mergeCell ref="D359:E359"/>
    <mergeCell ref="D360:E360"/>
    <mergeCell ref="D361:E361"/>
    <mergeCell ref="D363:E363"/>
    <mergeCell ref="D376:F376"/>
    <mergeCell ref="D377:E377"/>
    <mergeCell ref="D378:E378"/>
    <mergeCell ref="D385:F385"/>
    <mergeCell ref="D386:E386"/>
    <mergeCell ref="B351:C351"/>
    <mergeCell ref="D351:E351"/>
    <mergeCell ref="D352:E352"/>
    <mergeCell ref="D353:E353"/>
    <mergeCell ref="D356:E356"/>
    <mergeCell ref="B358:C358"/>
    <mergeCell ref="B345:C348"/>
    <mergeCell ref="D345:E345"/>
    <mergeCell ref="D346:E346"/>
    <mergeCell ref="D347:E347"/>
    <mergeCell ref="B349:C349"/>
    <mergeCell ref="B350:C350"/>
    <mergeCell ref="C337:C339"/>
    <mergeCell ref="D337:E337"/>
    <mergeCell ref="D338:E338"/>
    <mergeCell ref="D341:E341"/>
    <mergeCell ref="D342:E342"/>
    <mergeCell ref="B344:C344"/>
    <mergeCell ref="B319:C319"/>
    <mergeCell ref="D320:F320"/>
    <mergeCell ref="D321:E321"/>
    <mergeCell ref="D329:E329"/>
    <mergeCell ref="D330:E330"/>
    <mergeCell ref="C333:C335"/>
    <mergeCell ref="D333:E333"/>
    <mergeCell ref="D334:E334"/>
    <mergeCell ref="D313:E313"/>
    <mergeCell ref="B314:C314"/>
    <mergeCell ref="B315:C315"/>
    <mergeCell ref="B316:C316"/>
    <mergeCell ref="B317:C317"/>
    <mergeCell ref="B318:C318"/>
    <mergeCell ref="B304:C304"/>
    <mergeCell ref="B307:C307"/>
    <mergeCell ref="D308:F308"/>
    <mergeCell ref="D309:E309"/>
    <mergeCell ref="D311:F311"/>
    <mergeCell ref="D312:E312"/>
    <mergeCell ref="B298:C298"/>
    <mergeCell ref="B299:C299"/>
    <mergeCell ref="B300:C300"/>
    <mergeCell ref="B301:C301"/>
    <mergeCell ref="B302:C302"/>
    <mergeCell ref="B303:C303"/>
    <mergeCell ref="B292:C292"/>
    <mergeCell ref="B293:C293"/>
    <mergeCell ref="B294:C294"/>
    <mergeCell ref="B295:C295"/>
    <mergeCell ref="B296:C296"/>
    <mergeCell ref="B297:C297"/>
    <mergeCell ref="B285:C285"/>
    <mergeCell ref="B286:C286"/>
    <mergeCell ref="D287:F287"/>
    <mergeCell ref="D288:E288"/>
    <mergeCell ref="B290:C290"/>
    <mergeCell ref="B291:C291"/>
    <mergeCell ref="D279:E279"/>
    <mergeCell ref="D280:E280"/>
    <mergeCell ref="D281:E281"/>
    <mergeCell ref="B282:C282"/>
    <mergeCell ref="B283:C283"/>
    <mergeCell ref="B284:C284"/>
    <mergeCell ref="B273:C273"/>
    <mergeCell ref="B274:C277"/>
    <mergeCell ref="D274:E274"/>
    <mergeCell ref="D275:E275"/>
    <mergeCell ref="D276:E276"/>
    <mergeCell ref="B278:C278"/>
    <mergeCell ref="B264:C264"/>
    <mergeCell ref="D265:E265"/>
    <mergeCell ref="D266:E266"/>
    <mergeCell ref="D267:E267"/>
    <mergeCell ref="B269:C269"/>
    <mergeCell ref="B270:C272"/>
    <mergeCell ref="D270:E270"/>
    <mergeCell ref="D271:E271"/>
    <mergeCell ref="D250:E250"/>
    <mergeCell ref="D253:F253"/>
    <mergeCell ref="D254:E254"/>
    <mergeCell ref="D255:E255"/>
    <mergeCell ref="D259:F259"/>
    <mergeCell ref="D260:E260"/>
    <mergeCell ref="B237:C237"/>
    <mergeCell ref="B238:C238"/>
    <mergeCell ref="B239:C239"/>
    <mergeCell ref="B240:C263"/>
    <mergeCell ref="D240:E240"/>
    <mergeCell ref="D241:E241"/>
    <mergeCell ref="D242:E242"/>
    <mergeCell ref="D246:F246"/>
    <mergeCell ref="D247:E247"/>
    <mergeCell ref="D249:F249"/>
    <mergeCell ref="B228:C228"/>
    <mergeCell ref="B229:C235"/>
    <mergeCell ref="D229:E229"/>
    <mergeCell ref="D230:E230"/>
    <mergeCell ref="D231:E231"/>
    <mergeCell ref="B236:C236"/>
    <mergeCell ref="B222:C222"/>
    <mergeCell ref="B223:C223"/>
    <mergeCell ref="B224:C226"/>
    <mergeCell ref="D224:E224"/>
    <mergeCell ref="D225:E225"/>
    <mergeCell ref="B227:C227"/>
    <mergeCell ref="D214:E214"/>
    <mergeCell ref="D215:E215"/>
    <mergeCell ref="B217:C217"/>
    <mergeCell ref="B218:C218"/>
    <mergeCell ref="B219:C221"/>
    <mergeCell ref="D219:E219"/>
    <mergeCell ref="D220:E220"/>
    <mergeCell ref="B207:C207"/>
    <mergeCell ref="B208:C208"/>
    <mergeCell ref="B209:C211"/>
    <mergeCell ref="D209:E209"/>
    <mergeCell ref="D210:E210"/>
    <mergeCell ref="D213:F213"/>
    <mergeCell ref="B197:C197"/>
    <mergeCell ref="D198:F198"/>
    <mergeCell ref="D199:E199"/>
    <mergeCell ref="D200:E200"/>
    <mergeCell ref="D203:F203"/>
    <mergeCell ref="D204:E204"/>
    <mergeCell ref="B191:C191"/>
    <mergeCell ref="B192:C192"/>
    <mergeCell ref="B193:C193"/>
    <mergeCell ref="B194:C194"/>
    <mergeCell ref="B195:C195"/>
    <mergeCell ref="B196:C196"/>
    <mergeCell ref="B180:C180"/>
    <mergeCell ref="B181:C181"/>
    <mergeCell ref="B184:C184"/>
    <mergeCell ref="B185:C185"/>
    <mergeCell ref="B189:C189"/>
    <mergeCell ref="B190:C190"/>
    <mergeCell ref="B172:C172"/>
    <mergeCell ref="B173:C173"/>
    <mergeCell ref="B174:C174"/>
    <mergeCell ref="B175:C175"/>
    <mergeCell ref="B178:C178"/>
    <mergeCell ref="B179:C179"/>
    <mergeCell ref="B166:C168"/>
    <mergeCell ref="D166:E166"/>
    <mergeCell ref="D167:E167"/>
    <mergeCell ref="B169:C169"/>
    <mergeCell ref="B170:C170"/>
    <mergeCell ref="B171:C171"/>
    <mergeCell ref="B159:C159"/>
    <mergeCell ref="D161:F161"/>
    <mergeCell ref="D162:E162"/>
    <mergeCell ref="B163:C163"/>
    <mergeCell ref="B164:C164"/>
    <mergeCell ref="B165:C165"/>
    <mergeCell ref="B153:C153"/>
    <mergeCell ref="D154:E154"/>
    <mergeCell ref="D155:E155"/>
    <mergeCell ref="D156:E156"/>
    <mergeCell ref="B157:C157"/>
    <mergeCell ref="B158:C158"/>
    <mergeCell ref="D146:E146"/>
    <mergeCell ref="B147:C147"/>
    <mergeCell ref="B148:C148"/>
    <mergeCell ref="B149:C149"/>
    <mergeCell ref="D150:F150"/>
    <mergeCell ref="D151:E151"/>
    <mergeCell ref="C138:C143"/>
    <mergeCell ref="D138:F138"/>
    <mergeCell ref="D139:E139"/>
    <mergeCell ref="D140:E140"/>
    <mergeCell ref="B144:C144"/>
    <mergeCell ref="D145:E145"/>
    <mergeCell ref="B128:C128"/>
    <mergeCell ref="D129:E129"/>
    <mergeCell ref="D130:E130"/>
    <mergeCell ref="D131:E131"/>
    <mergeCell ref="D134:F134"/>
    <mergeCell ref="D135:E135"/>
    <mergeCell ref="B98:C100"/>
    <mergeCell ref="D98:E98"/>
    <mergeCell ref="D99:E99"/>
    <mergeCell ref="B101:C101"/>
    <mergeCell ref="B102:C127"/>
    <mergeCell ref="D102:E102"/>
    <mergeCell ref="D103:E103"/>
    <mergeCell ref="D90:F90"/>
    <mergeCell ref="D91:E91"/>
    <mergeCell ref="D92:E92"/>
    <mergeCell ref="D94:F94"/>
    <mergeCell ref="D95:E95"/>
    <mergeCell ref="B97:C97"/>
    <mergeCell ref="D64:E64"/>
    <mergeCell ref="B66:C66"/>
    <mergeCell ref="B67:C96"/>
    <mergeCell ref="D67:E67"/>
    <mergeCell ref="D68:E68"/>
    <mergeCell ref="D69:E69"/>
    <mergeCell ref="D74:F74"/>
    <mergeCell ref="D75:E75"/>
    <mergeCell ref="D87:F87"/>
    <mergeCell ref="D88:E88"/>
    <mergeCell ref="B57:C57"/>
    <mergeCell ref="B58:C58"/>
    <mergeCell ref="B59:C59"/>
    <mergeCell ref="B60:C60"/>
    <mergeCell ref="B62:C62"/>
    <mergeCell ref="D63:F63"/>
    <mergeCell ref="B51:C51"/>
    <mergeCell ref="B52:C52"/>
    <mergeCell ref="B53:C53"/>
    <mergeCell ref="B54:C54"/>
    <mergeCell ref="B55:C55"/>
    <mergeCell ref="B56:C56"/>
    <mergeCell ref="B44:C44"/>
    <mergeCell ref="D45:F45"/>
    <mergeCell ref="D46:E46"/>
    <mergeCell ref="B48:C48"/>
    <mergeCell ref="B49:C49"/>
    <mergeCell ref="B50:C50"/>
    <mergeCell ref="D38:E38"/>
    <mergeCell ref="D39:E39"/>
    <mergeCell ref="B40:C40"/>
    <mergeCell ref="B41:C41"/>
    <mergeCell ref="B42:C42"/>
    <mergeCell ref="B43:C43"/>
    <mergeCell ref="B31:C31"/>
    <mergeCell ref="B32:C32"/>
    <mergeCell ref="D33:F33"/>
    <mergeCell ref="D34:E34"/>
    <mergeCell ref="B36:C36"/>
    <mergeCell ref="D37:E37"/>
    <mergeCell ref="E1:F1"/>
    <mergeCell ref="A3:F3"/>
    <mergeCell ref="B4:C4"/>
    <mergeCell ref="B6:C6"/>
    <mergeCell ref="B7:C7"/>
    <mergeCell ref="B8:C10"/>
    <mergeCell ref="D8:E8"/>
    <mergeCell ref="D9:E9"/>
    <mergeCell ref="D10:E10"/>
    <mergeCell ref="B24:C24"/>
    <mergeCell ref="B25:C25"/>
    <mergeCell ref="B26:C26"/>
    <mergeCell ref="B27:C27"/>
    <mergeCell ref="B28:C28"/>
    <mergeCell ref="B29:C29"/>
    <mergeCell ref="D17:E17"/>
    <mergeCell ref="B19:C19"/>
    <mergeCell ref="B20:C20"/>
    <mergeCell ref="B21:C21"/>
    <mergeCell ref="B22:C22"/>
    <mergeCell ref="B23:C23"/>
    <mergeCell ref="B11:C11"/>
    <mergeCell ref="B12:C12"/>
    <mergeCell ref="B13:C13"/>
    <mergeCell ref="B14:C14"/>
    <mergeCell ref="B15:C15"/>
    <mergeCell ref="D16:F16"/>
  </mergeCell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Strona &amp;P z &amp;N</oddFooter>
  </headerFooter>
  <rowBreaks count="8" manualBreakCount="8">
    <brk id="343" max="5" man="1"/>
    <brk id="809" max="5" man="1"/>
    <brk id="993" max="5" man="1"/>
    <brk id="1049" max="5" man="1"/>
    <brk id="1192" max="5" man="1"/>
    <brk id="1303" max="5" man="1"/>
    <brk id="1365" max="5" man="1"/>
    <brk id="152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HR118"/>
  <sheetViews>
    <sheetView view="pageBreakPreview" zoomScaleNormal="100" zoomScaleSheetLayoutView="100" workbookViewId="0">
      <pane ySplit="7" topLeftCell="A78" activePane="bottomLeft" state="frozen"/>
      <selection activeCell="A2" sqref="A2:F2"/>
      <selection pane="bottomLeft" activeCell="A2" sqref="A2:F2"/>
    </sheetView>
  </sheetViews>
  <sheetFormatPr defaultRowHeight="12.75"/>
  <cols>
    <col min="1" max="1" width="3.5703125" style="1" customWidth="1"/>
    <col min="2" max="2" width="50.7109375" style="1" customWidth="1"/>
    <col min="3" max="4" width="7.7109375" style="821" customWidth="1"/>
    <col min="5" max="5" width="16.85546875" style="1" bestFit="1" customWidth="1"/>
    <col min="6" max="10" width="12.7109375" style="1" customWidth="1"/>
    <col min="11" max="12" width="11.140625" style="1" bestFit="1" customWidth="1"/>
    <col min="13" max="242" width="9.140625" style="1"/>
    <col min="243" max="243" width="4.28515625" style="1" bestFit="1" customWidth="1"/>
    <col min="244" max="244" width="6.85546875" style="1" bestFit="1" customWidth="1"/>
    <col min="245" max="245" width="11" style="1" customWidth="1"/>
    <col min="246" max="246" width="11.140625" style="1" bestFit="1" customWidth="1"/>
    <col min="247" max="247" width="10.85546875" style="1" customWidth="1"/>
    <col min="248" max="248" width="11.5703125" style="1" customWidth="1"/>
    <col min="249" max="249" width="11.140625" style="1" bestFit="1" customWidth="1"/>
    <col min="250" max="250" width="11" style="1" customWidth="1"/>
    <col min="251" max="251" width="10.42578125" style="1" customWidth="1"/>
    <col min="252" max="252" width="11.28515625" style="1" customWidth="1"/>
    <col min="253" max="254" width="9.140625" style="1" bestFit="1" customWidth="1"/>
    <col min="255" max="256" width="11.140625" style="1" bestFit="1" customWidth="1"/>
    <col min="257" max="257" width="11.5703125" style="1" bestFit="1" customWidth="1"/>
    <col min="258" max="258" width="9.140625" style="1" bestFit="1" customWidth="1"/>
    <col min="259" max="259" width="10.28515625" style="1" customWidth="1"/>
    <col min="260" max="498" width="9.140625" style="1"/>
    <col min="499" max="499" width="4.28515625" style="1" bestFit="1" customWidth="1"/>
    <col min="500" max="500" width="6.85546875" style="1" bestFit="1" customWidth="1"/>
    <col min="501" max="501" width="11" style="1" customWidth="1"/>
    <col min="502" max="502" width="11.140625" style="1" bestFit="1" customWidth="1"/>
    <col min="503" max="503" width="10.85546875" style="1" customWidth="1"/>
    <col min="504" max="504" width="11.5703125" style="1" customWidth="1"/>
    <col min="505" max="505" width="11.140625" style="1" bestFit="1" customWidth="1"/>
    <col min="506" max="506" width="11" style="1" customWidth="1"/>
    <col min="507" max="507" width="10.42578125" style="1" customWidth="1"/>
    <col min="508" max="508" width="11.28515625" style="1" customWidth="1"/>
    <col min="509" max="510" width="9.140625" style="1" bestFit="1" customWidth="1"/>
    <col min="511" max="512" width="11.140625" style="1" bestFit="1" customWidth="1"/>
    <col min="513" max="513" width="11.5703125" style="1" bestFit="1" customWidth="1"/>
    <col min="514" max="514" width="9.140625" style="1" bestFit="1" customWidth="1"/>
    <col min="515" max="515" width="10.28515625" style="1" customWidth="1"/>
    <col min="516" max="754" width="9.140625" style="1"/>
    <col min="755" max="755" width="4.28515625" style="1" bestFit="1" customWidth="1"/>
    <col min="756" max="756" width="6.85546875" style="1" bestFit="1" customWidth="1"/>
    <col min="757" max="757" width="11" style="1" customWidth="1"/>
    <col min="758" max="758" width="11.140625" style="1" bestFit="1" customWidth="1"/>
    <col min="759" max="759" width="10.85546875" style="1" customWidth="1"/>
    <col min="760" max="760" width="11.5703125" style="1" customWidth="1"/>
    <col min="761" max="761" width="11.140625" style="1" bestFit="1" customWidth="1"/>
    <col min="762" max="762" width="11" style="1" customWidth="1"/>
    <col min="763" max="763" width="10.42578125" style="1" customWidth="1"/>
    <col min="764" max="764" width="11.28515625" style="1" customWidth="1"/>
    <col min="765" max="766" width="9.140625" style="1" bestFit="1" customWidth="1"/>
    <col min="767" max="768" width="11.140625" style="1" bestFit="1" customWidth="1"/>
    <col min="769" max="769" width="11.5703125" style="1" bestFit="1" customWidth="1"/>
    <col min="770" max="770" width="9.140625" style="1" bestFit="1" customWidth="1"/>
    <col min="771" max="771" width="10.28515625" style="1" customWidth="1"/>
    <col min="772" max="1010" width="9.140625" style="1"/>
    <col min="1011" max="1011" width="4.28515625" style="1" bestFit="1" customWidth="1"/>
    <col min="1012" max="1012" width="6.85546875" style="1" bestFit="1" customWidth="1"/>
    <col min="1013" max="1013" width="11" style="1" customWidth="1"/>
    <col min="1014" max="1014" width="11.140625" style="1" bestFit="1" customWidth="1"/>
    <col min="1015" max="1015" width="10.85546875" style="1" customWidth="1"/>
    <col min="1016" max="1016" width="11.5703125" style="1" customWidth="1"/>
    <col min="1017" max="1017" width="11.140625" style="1" bestFit="1" customWidth="1"/>
    <col min="1018" max="1018" width="11" style="1" customWidth="1"/>
    <col min="1019" max="1019" width="10.42578125" style="1" customWidth="1"/>
    <col min="1020" max="1020" width="11.28515625" style="1" customWidth="1"/>
    <col min="1021" max="1022" width="9.140625" style="1" bestFit="1" customWidth="1"/>
    <col min="1023" max="1024" width="11.140625" style="1" bestFit="1" customWidth="1"/>
    <col min="1025" max="1025" width="11.5703125" style="1" bestFit="1" customWidth="1"/>
    <col min="1026" max="1026" width="9.140625" style="1" bestFit="1" customWidth="1"/>
    <col min="1027" max="1027" width="10.28515625" style="1" customWidth="1"/>
    <col min="1028" max="1266" width="9.140625" style="1"/>
    <col min="1267" max="1267" width="4.28515625" style="1" bestFit="1" customWidth="1"/>
    <col min="1268" max="1268" width="6.85546875" style="1" bestFit="1" customWidth="1"/>
    <col min="1269" max="1269" width="11" style="1" customWidth="1"/>
    <col min="1270" max="1270" width="11.140625" style="1" bestFit="1" customWidth="1"/>
    <col min="1271" max="1271" width="10.85546875" style="1" customWidth="1"/>
    <col min="1272" max="1272" width="11.5703125" style="1" customWidth="1"/>
    <col min="1273" max="1273" width="11.140625" style="1" bestFit="1" customWidth="1"/>
    <col min="1274" max="1274" width="11" style="1" customWidth="1"/>
    <col min="1275" max="1275" width="10.42578125" style="1" customWidth="1"/>
    <col min="1276" max="1276" width="11.28515625" style="1" customWidth="1"/>
    <col min="1277" max="1278" width="9.140625" style="1" bestFit="1" customWidth="1"/>
    <col min="1279" max="1280" width="11.140625" style="1" bestFit="1" customWidth="1"/>
    <col min="1281" max="1281" width="11.5703125" style="1" bestFit="1" customWidth="1"/>
    <col min="1282" max="1282" width="9.140625" style="1" bestFit="1" customWidth="1"/>
    <col min="1283" max="1283" width="10.28515625" style="1" customWidth="1"/>
    <col min="1284" max="1522" width="9.140625" style="1"/>
    <col min="1523" max="1523" width="4.28515625" style="1" bestFit="1" customWidth="1"/>
    <col min="1524" max="1524" width="6.85546875" style="1" bestFit="1" customWidth="1"/>
    <col min="1525" max="1525" width="11" style="1" customWidth="1"/>
    <col min="1526" max="1526" width="11.140625" style="1" bestFit="1" customWidth="1"/>
    <col min="1527" max="1527" width="10.85546875" style="1" customWidth="1"/>
    <col min="1528" max="1528" width="11.5703125" style="1" customWidth="1"/>
    <col min="1529" max="1529" width="11.140625" style="1" bestFit="1" customWidth="1"/>
    <col min="1530" max="1530" width="11" style="1" customWidth="1"/>
    <col min="1531" max="1531" width="10.42578125" style="1" customWidth="1"/>
    <col min="1532" max="1532" width="11.28515625" style="1" customWidth="1"/>
    <col min="1533" max="1534" width="9.140625" style="1" bestFit="1" customWidth="1"/>
    <col min="1535" max="1536" width="11.140625" style="1" bestFit="1" customWidth="1"/>
    <col min="1537" max="1537" width="11.5703125" style="1" bestFit="1" customWidth="1"/>
    <col min="1538" max="1538" width="9.140625" style="1" bestFit="1" customWidth="1"/>
    <col min="1539" max="1539" width="10.28515625" style="1" customWidth="1"/>
    <col min="1540" max="1778" width="9.140625" style="1"/>
    <col min="1779" max="1779" width="4.28515625" style="1" bestFit="1" customWidth="1"/>
    <col min="1780" max="1780" width="6.85546875" style="1" bestFit="1" customWidth="1"/>
    <col min="1781" max="1781" width="11" style="1" customWidth="1"/>
    <col min="1782" max="1782" width="11.140625" style="1" bestFit="1" customWidth="1"/>
    <col min="1783" max="1783" width="10.85546875" style="1" customWidth="1"/>
    <col min="1784" max="1784" width="11.5703125" style="1" customWidth="1"/>
    <col min="1785" max="1785" width="11.140625" style="1" bestFit="1" customWidth="1"/>
    <col min="1786" max="1786" width="11" style="1" customWidth="1"/>
    <col min="1787" max="1787" width="10.42578125" style="1" customWidth="1"/>
    <col min="1788" max="1788" width="11.28515625" style="1" customWidth="1"/>
    <col min="1789" max="1790" width="9.140625" style="1" bestFit="1" customWidth="1"/>
    <col min="1791" max="1792" width="11.140625" style="1" bestFit="1" customWidth="1"/>
    <col min="1793" max="1793" width="11.5703125" style="1" bestFit="1" customWidth="1"/>
    <col min="1794" max="1794" width="9.140625" style="1" bestFit="1" customWidth="1"/>
    <col min="1795" max="1795" width="10.28515625" style="1" customWidth="1"/>
    <col min="1796" max="2034" width="9.140625" style="1"/>
    <col min="2035" max="2035" width="4.28515625" style="1" bestFit="1" customWidth="1"/>
    <col min="2036" max="2036" width="6.85546875" style="1" bestFit="1" customWidth="1"/>
    <col min="2037" max="2037" width="11" style="1" customWidth="1"/>
    <col min="2038" max="2038" width="11.140625" style="1" bestFit="1" customWidth="1"/>
    <col min="2039" max="2039" width="10.85546875" style="1" customWidth="1"/>
    <col min="2040" max="2040" width="11.5703125" style="1" customWidth="1"/>
    <col min="2041" max="2041" width="11.140625" style="1" bestFit="1" customWidth="1"/>
    <col min="2042" max="2042" width="11" style="1" customWidth="1"/>
    <col min="2043" max="2043" width="10.42578125" style="1" customWidth="1"/>
    <col min="2044" max="2044" width="11.28515625" style="1" customWidth="1"/>
    <col min="2045" max="2046" width="9.140625" style="1" bestFit="1" customWidth="1"/>
    <col min="2047" max="2048" width="11.140625" style="1" bestFit="1" customWidth="1"/>
    <col min="2049" max="2049" width="11.5703125" style="1" bestFit="1" customWidth="1"/>
    <col min="2050" max="2050" width="9.140625" style="1" bestFit="1" customWidth="1"/>
    <col min="2051" max="2051" width="10.28515625" style="1" customWidth="1"/>
    <col min="2052" max="2290" width="9.140625" style="1"/>
    <col min="2291" max="2291" width="4.28515625" style="1" bestFit="1" customWidth="1"/>
    <col min="2292" max="2292" width="6.85546875" style="1" bestFit="1" customWidth="1"/>
    <col min="2293" max="2293" width="11" style="1" customWidth="1"/>
    <col min="2294" max="2294" width="11.140625" style="1" bestFit="1" customWidth="1"/>
    <col min="2295" max="2295" width="10.85546875" style="1" customWidth="1"/>
    <col min="2296" max="2296" width="11.5703125" style="1" customWidth="1"/>
    <col min="2297" max="2297" width="11.140625" style="1" bestFit="1" customWidth="1"/>
    <col min="2298" max="2298" width="11" style="1" customWidth="1"/>
    <col min="2299" max="2299" width="10.42578125" style="1" customWidth="1"/>
    <col min="2300" max="2300" width="11.28515625" style="1" customWidth="1"/>
    <col min="2301" max="2302" width="9.140625" style="1" bestFit="1" customWidth="1"/>
    <col min="2303" max="2304" width="11.140625" style="1" bestFit="1" customWidth="1"/>
    <col min="2305" max="2305" width="11.5703125" style="1" bestFit="1" customWidth="1"/>
    <col min="2306" max="2306" width="9.140625" style="1" bestFit="1" customWidth="1"/>
    <col min="2307" max="2307" width="10.28515625" style="1" customWidth="1"/>
    <col min="2308" max="2546" width="9.140625" style="1"/>
    <col min="2547" max="2547" width="4.28515625" style="1" bestFit="1" customWidth="1"/>
    <col min="2548" max="2548" width="6.85546875" style="1" bestFit="1" customWidth="1"/>
    <col min="2549" max="2549" width="11" style="1" customWidth="1"/>
    <col min="2550" max="2550" width="11.140625" style="1" bestFit="1" customWidth="1"/>
    <col min="2551" max="2551" width="10.85546875" style="1" customWidth="1"/>
    <col min="2552" max="2552" width="11.5703125" style="1" customWidth="1"/>
    <col min="2553" max="2553" width="11.140625" style="1" bestFit="1" customWidth="1"/>
    <col min="2554" max="2554" width="11" style="1" customWidth="1"/>
    <col min="2555" max="2555" width="10.42578125" style="1" customWidth="1"/>
    <col min="2556" max="2556" width="11.28515625" style="1" customWidth="1"/>
    <col min="2557" max="2558" width="9.140625" style="1" bestFit="1" customWidth="1"/>
    <col min="2559" max="2560" width="11.140625" style="1" bestFit="1" customWidth="1"/>
    <col min="2561" max="2561" width="11.5703125" style="1" bestFit="1" customWidth="1"/>
    <col min="2562" max="2562" width="9.140625" style="1" bestFit="1" customWidth="1"/>
    <col min="2563" max="2563" width="10.28515625" style="1" customWidth="1"/>
    <col min="2564" max="2802" width="9.140625" style="1"/>
    <col min="2803" max="2803" width="4.28515625" style="1" bestFit="1" customWidth="1"/>
    <col min="2804" max="2804" width="6.85546875" style="1" bestFit="1" customWidth="1"/>
    <col min="2805" max="2805" width="11" style="1" customWidth="1"/>
    <col min="2806" max="2806" width="11.140625" style="1" bestFit="1" customWidth="1"/>
    <col min="2807" max="2807" width="10.85546875" style="1" customWidth="1"/>
    <col min="2808" max="2808" width="11.5703125" style="1" customWidth="1"/>
    <col min="2809" max="2809" width="11.140625" style="1" bestFit="1" customWidth="1"/>
    <col min="2810" max="2810" width="11" style="1" customWidth="1"/>
    <col min="2811" max="2811" width="10.42578125" style="1" customWidth="1"/>
    <col min="2812" max="2812" width="11.28515625" style="1" customWidth="1"/>
    <col min="2813" max="2814" width="9.140625" style="1" bestFit="1" customWidth="1"/>
    <col min="2815" max="2816" width="11.140625" style="1" bestFit="1" customWidth="1"/>
    <col min="2817" max="2817" width="11.5703125" style="1" bestFit="1" customWidth="1"/>
    <col min="2818" max="2818" width="9.140625" style="1" bestFit="1" customWidth="1"/>
    <col min="2819" max="2819" width="10.28515625" style="1" customWidth="1"/>
    <col min="2820" max="3058" width="9.140625" style="1"/>
    <col min="3059" max="3059" width="4.28515625" style="1" bestFit="1" customWidth="1"/>
    <col min="3060" max="3060" width="6.85546875" style="1" bestFit="1" customWidth="1"/>
    <col min="3061" max="3061" width="11" style="1" customWidth="1"/>
    <col min="3062" max="3062" width="11.140625" style="1" bestFit="1" customWidth="1"/>
    <col min="3063" max="3063" width="10.85546875" style="1" customWidth="1"/>
    <col min="3064" max="3064" width="11.5703125" style="1" customWidth="1"/>
    <col min="3065" max="3065" width="11.140625" style="1" bestFit="1" customWidth="1"/>
    <col min="3066" max="3066" width="11" style="1" customWidth="1"/>
    <col min="3067" max="3067" width="10.42578125" style="1" customWidth="1"/>
    <col min="3068" max="3068" width="11.28515625" style="1" customWidth="1"/>
    <col min="3069" max="3070" width="9.140625" style="1" bestFit="1" customWidth="1"/>
    <col min="3071" max="3072" width="11.140625" style="1" bestFit="1" customWidth="1"/>
    <col min="3073" max="3073" width="11.5703125" style="1" bestFit="1" customWidth="1"/>
    <col min="3074" max="3074" width="9.140625" style="1" bestFit="1" customWidth="1"/>
    <col min="3075" max="3075" width="10.28515625" style="1" customWidth="1"/>
    <col min="3076" max="3314" width="9.140625" style="1"/>
    <col min="3315" max="3315" width="4.28515625" style="1" bestFit="1" customWidth="1"/>
    <col min="3316" max="3316" width="6.85546875" style="1" bestFit="1" customWidth="1"/>
    <col min="3317" max="3317" width="11" style="1" customWidth="1"/>
    <col min="3318" max="3318" width="11.140625" style="1" bestFit="1" customWidth="1"/>
    <col min="3319" max="3319" width="10.85546875" style="1" customWidth="1"/>
    <col min="3320" max="3320" width="11.5703125" style="1" customWidth="1"/>
    <col min="3321" max="3321" width="11.140625" style="1" bestFit="1" customWidth="1"/>
    <col min="3322" max="3322" width="11" style="1" customWidth="1"/>
    <col min="3323" max="3323" width="10.42578125" style="1" customWidth="1"/>
    <col min="3324" max="3324" width="11.28515625" style="1" customWidth="1"/>
    <col min="3325" max="3326" width="9.140625" style="1" bestFit="1" customWidth="1"/>
    <col min="3327" max="3328" width="11.140625" style="1" bestFit="1" customWidth="1"/>
    <col min="3329" max="3329" width="11.5703125" style="1" bestFit="1" customWidth="1"/>
    <col min="3330" max="3330" width="9.140625" style="1" bestFit="1" customWidth="1"/>
    <col min="3331" max="3331" width="10.28515625" style="1" customWidth="1"/>
    <col min="3332" max="3570" width="9.140625" style="1"/>
    <col min="3571" max="3571" width="4.28515625" style="1" bestFit="1" customWidth="1"/>
    <col min="3572" max="3572" width="6.85546875" style="1" bestFit="1" customWidth="1"/>
    <col min="3573" max="3573" width="11" style="1" customWidth="1"/>
    <col min="3574" max="3574" width="11.140625" style="1" bestFit="1" customWidth="1"/>
    <col min="3575" max="3575" width="10.85546875" style="1" customWidth="1"/>
    <col min="3576" max="3576" width="11.5703125" style="1" customWidth="1"/>
    <col min="3577" max="3577" width="11.140625" style="1" bestFit="1" customWidth="1"/>
    <col min="3578" max="3578" width="11" style="1" customWidth="1"/>
    <col min="3579" max="3579" width="10.42578125" style="1" customWidth="1"/>
    <col min="3580" max="3580" width="11.28515625" style="1" customWidth="1"/>
    <col min="3581" max="3582" width="9.140625" style="1" bestFit="1" customWidth="1"/>
    <col min="3583" max="3584" width="11.140625" style="1" bestFit="1" customWidth="1"/>
    <col min="3585" max="3585" width="11.5703125" style="1" bestFit="1" customWidth="1"/>
    <col min="3586" max="3586" width="9.140625" style="1" bestFit="1" customWidth="1"/>
    <col min="3587" max="3587" width="10.28515625" style="1" customWidth="1"/>
    <col min="3588" max="3826" width="9.140625" style="1"/>
    <col min="3827" max="3827" width="4.28515625" style="1" bestFit="1" customWidth="1"/>
    <col min="3828" max="3828" width="6.85546875" style="1" bestFit="1" customWidth="1"/>
    <col min="3829" max="3829" width="11" style="1" customWidth="1"/>
    <col min="3830" max="3830" width="11.140625" style="1" bestFit="1" customWidth="1"/>
    <col min="3831" max="3831" width="10.85546875" style="1" customWidth="1"/>
    <col min="3832" max="3832" width="11.5703125" style="1" customWidth="1"/>
    <col min="3833" max="3833" width="11.140625" style="1" bestFit="1" customWidth="1"/>
    <col min="3834" max="3834" width="11" style="1" customWidth="1"/>
    <col min="3835" max="3835" width="10.42578125" style="1" customWidth="1"/>
    <col min="3836" max="3836" width="11.28515625" style="1" customWidth="1"/>
    <col min="3837" max="3838" width="9.140625" style="1" bestFit="1" customWidth="1"/>
    <col min="3839" max="3840" width="11.140625" style="1" bestFit="1" customWidth="1"/>
    <col min="3841" max="3841" width="11.5703125" style="1" bestFit="1" customWidth="1"/>
    <col min="3842" max="3842" width="9.140625" style="1" bestFit="1" customWidth="1"/>
    <col min="3843" max="3843" width="10.28515625" style="1" customWidth="1"/>
    <col min="3844" max="4082" width="9.140625" style="1"/>
    <col min="4083" max="4083" width="4.28515625" style="1" bestFit="1" customWidth="1"/>
    <col min="4084" max="4084" width="6.85546875" style="1" bestFit="1" customWidth="1"/>
    <col min="4085" max="4085" width="11" style="1" customWidth="1"/>
    <col min="4086" max="4086" width="11.140625" style="1" bestFit="1" customWidth="1"/>
    <col min="4087" max="4087" width="10.85546875" style="1" customWidth="1"/>
    <col min="4088" max="4088" width="11.5703125" style="1" customWidth="1"/>
    <col min="4089" max="4089" width="11.140625" style="1" bestFit="1" customWidth="1"/>
    <col min="4090" max="4090" width="11" style="1" customWidth="1"/>
    <col min="4091" max="4091" width="10.42578125" style="1" customWidth="1"/>
    <col min="4092" max="4092" width="11.28515625" style="1" customWidth="1"/>
    <col min="4093" max="4094" width="9.140625" style="1" bestFit="1" customWidth="1"/>
    <col min="4095" max="4096" width="11.140625" style="1" bestFit="1" customWidth="1"/>
    <col min="4097" max="4097" width="11.5703125" style="1" bestFit="1" customWidth="1"/>
    <col min="4098" max="4098" width="9.140625" style="1" bestFit="1" customWidth="1"/>
    <col min="4099" max="4099" width="10.28515625" style="1" customWidth="1"/>
    <col min="4100" max="4338" width="9.140625" style="1"/>
    <col min="4339" max="4339" width="4.28515625" style="1" bestFit="1" customWidth="1"/>
    <col min="4340" max="4340" width="6.85546875" style="1" bestFit="1" customWidth="1"/>
    <col min="4341" max="4341" width="11" style="1" customWidth="1"/>
    <col min="4342" max="4342" width="11.140625" style="1" bestFit="1" customWidth="1"/>
    <col min="4343" max="4343" width="10.85546875" style="1" customWidth="1"/>
    <col min="4344" max="4344" width="11.5703125" style="1" customWidth="1"/>
    <col min="4345" max="4345" width="11.140625" style="1" bestFit="1" customWidth="1"/>
    <col min="4346" max="4346" width="11" style="1" customWidth="1"/>
    <col min="4347" max="4347" width="10.42578125" style="1" customWidth="1"/>
    <col min="4348" max="4348" width="11.28515625" style="1" customWidth="1"/>
    <col min="4349" max="4350" width="9.140625" style="1" bestFit="1" customWidth="1"/>
    <col min="4351" max="4352" width="11.140625" style="1" bestFit="1" customWidth="1"/>
    <col min="4353" max="4353" width="11.5703125" style="1" bestFit="1" customWidth="1"/>
    <col min="4354" max="4354" width="9.140625" style="1" bestFit="1" customWidth="1"/>
    <col min="4355" max="4355" width="10.28515625" style="1" customWidth="1"/>
    <col min="4356" max="4594" width="9.140625" style="1"/>
    <col min="4595" max="4595" width="4.28515625" style="1" bestFit="1" customWidth="1"/>
    <col min="4596" max="4596" width="6.85546875" style="1" bestFit="1" customWidth="1"/>
    <col min="4597" max="4597" width="11" style="1" customWidth="1"/>
    <col min="4598" max="4598" width="11.140625" style="1" bestFit="1" customWidth="1"/>
    <col min="4599" max="4599" width="10.85546875" style="1" customWidth="1"/>
    <col min="4600" max="4600" width="11.5703125" style="1" customWidth="1"/>
    <col min="4601" max="4601" width="11.140625" style="1" bestFit="1" customWidth="1"/>
    <col min="4602" max="4602" width="11" style="1" customWidth="1"/>
    <col min="4603" max="4603" width="10.42578125" style="1" customWidth="1"/>
    <col min="4604" max="4604" width="11.28515625" style="1" customWidth="1"/>
    <col min="4605" max="4606" width="9.140625" style="1" bestFit="1" customWidth="1"/>
    <col min="4607" max="4608" width="11.140625" style="1" bestFit="1" customWidth="1"/>
    <col min="4609" max="4609" width="11.5703125" style="1" bestFit="1" customWidth="1"/>
    <col min="4610" max="4610" width="9.140625" style="1" bestFit="1" customWidth="1"/>
    <col min="4611" max="4611" width="10.28515625" style="1" customWidth="1"/>
    <col min="4612" max="4850" width="9.140625" style="1"/>
    <col min="4851" max="4851" width="4.28515625" style="1" bestFit="1" customWidth="1"/>
    <col min="4852" max="4852" width="6.85546875" style="1" bestFit="1" customWidth="1"/>
    <col min="4853" max="4853" width="11" style="1" customWidth="1"/>
    <col min="4854" max="4854" width="11.140625" style="1" bestFit="1" customWidth="1"/>
    <col min="4855" max="4855" width="10.85546875" style="1" customWidth="1"/>
    <col min="4856" max="4856" width="11.5703125" style="1" customWidth="1"/>
    <col min="4857" max="4857" width="11.140625" style="1" bestFit="1" customWidth="1"/>
    <col min="4858" max="4858" width="11" style="1" customWidth="1"/>
    <col min="4859" max="4859" width="10.42578125" style="1" customWidth="1"/>
    <col min="4860" max="4860" width="11.28515625" style="1" customWidth="1"/>
    <col min="4861" max="4862" width="9.140625" style="1" bestFit="1" customWidth="1"/>
    <col min="4863" max="4864" width="11.140625" style="1" bestFit="1" customWidth="1"/>
    <col min="4865" max="4865" width="11.5703125" style="1" bestFit="1" customWidth="1"/>
    <col min="4866" max="4866" width="9.140625" style="1" bestFit="1" customWidth="1"/>
    <col min="4867" max="4867" width="10.28515625" style="1" customWidth="1"/>
    <col min="4868" max="5106" width="9.140625" style="1"/>
    <col min="5107" max="5107" width="4.28515625" style="1" bestFit="1" customWidth="1"/>
    <col min="5108" max="5108" width="6.85546875" style="1" bestFit="1" customWidth="1"/>
    <col min="5109" max="5109" width="11" style="1" customWidth="1"/>
    <col min="5110" max="5110" width="11.140625" style="1" bestFit="1" customWidth="1"/>
    <col min="5111" max="5111" width="10.85546875" style="1" customWidth="1"/>
    <col min="5112" max="5112" width="11.5703125" style="1" customWidth="1"/>
    <col min="5113" max="5113" width="11.140625" style="1" bestFit="1" customWidth="1"/>
    <col min="5114" max="5114" width="11" style="1" customWidth="1"/>
    <col min="5115" max="5115" width="10.42578125" style="1" customWidth="1"/>
    <col min="5116" max="5116" width="11.28515625" style="1" customWidth="1"/>
    <col min="5117" max="5118" width="9.140625" style="1" bestFit="1" customWidth="1"/>
    <col min="5119" max="5120" width="11.140625" style="1" bestFit="1" customWidth="1"/>
    <col min="5121" max="5121" width="11.5703125" style="1" bestFit="1" customWidth="1"/>
    <col min="5122" max="5122" width="9.140625" style="1" bestFit="1" customWidth="1"/>
    <col min="5123" max="5123" width="10.28515625" style="1" customWidth="1"/>
    <col min="5124" max="5362" width="9.140625" style="1"/>
    <col min="5363" max="5363" width="4.28515625" style="1" bestFit="1" customWidth="1"/>
    <col min="5364" max="5364" width="6.85546875" style="1" bestFit="1" customWidth="1"/>
    <col min="5365" max="5365" width="11" style="1" customWidth="1"/>
    <col min="5366" max="5366" width="11.140625" style="1" bestFit="1" customWidth="1"/>
    <col min="5367" max="5367" width="10.85546875" style="1" customWidth="1"/>
    <col min="5368" max="5368" width="11.5703125" style="1" customWidth="1"/>
    <col min="5369" max="5369" width="11.140625" style="1" bestFit="1" customWidth="1"/>
    <col min="5370" max="5370" width="11" style="1" customWidth="1"/>
    <col min="5371" max="5371" width="10.42578125" style="1" customWidth="1"/>
    <col min="5372" max="5372" width="11.28515625" style="1" customWidth="1"/>
    <col min="5373" max="5374" width="9.140625" style="1" bestFit="1" customWidth="1"/>
    <col min="5375" max="5376" width="11.140625" style="1" bestFit="1" customWidth="1"/>
    <col min="5377" max="5377" width="11.5703125" style="1" bestFit="1" customWidth="1"/>
    <col min="5378" max="5378" width="9.140625" style="1" bestFit="1" customWidth="1"/>
    <col min="5379" max="5379" width="10.28515625" style="1" customWidth="1"/>
    <col min="5380" max="5618" width="9.140625" style="1"/>
    <col min="5619" max="5619" width="4.28515625" style="1" bestFit="1" customWidth="1"/>
    <col min="5620" max="5620" width="6.85546875" style="1" bestFit="1" customWidth="1"/>
    <col min="5621" max="5621" width="11" style="1" customWidth="1"/>
    <col min="5622" max="5622" width="11.140625" style="1" bestFit="1" customWidth="1"/>
    <col min="5623" max="5623" width="10.85546875" style="1" customWidth="1"/>
    <col min="5624" max="5624" width="11.5703125" style="1" customWidth="1"/>
    <col min="5625" max="5625" width="11.140625" style="1" bestFit="1" customWidth="1"/>
    <col min="5626" max="5626" width="11" style="1" customWidth="1"/>
    <col min="5627" max="5627" width="10.42578125" style="1" customWidth="1"/>
    <col min="5628" max="5628" width="11.28515625" style="1" customWidth="1"/>
    <col min="5629" max="5630" width="9.140625" style="1" bestFit="1" customWidth="1"/>
    <col min="5631" max="5632" width="11.140625" style="1" bestFit="1" customWidth="1"/>
    <col min="5633" max="5633" width="11.5703125" style="1" bestFit="1" customWidth="1"/>
    <col min="5634" max="5634" width="9.140625" style="1" bestFit="1" customWidth="1"/>
    <col min="5635" max="5635" width="10.28515625" style="1" customWidth="1"/>
    <col min="5636" max="5874" width="9.140625" style="1"/>
    <col min="5875" max="5875" width="4.28515625" style="1" bestFit="1" customWidth="1"/>
    <col min="5876" max="5876" width="6.85546875" style="1" bestFit="1" customWidth="1"/>
    <col min="5877" max="5877" width="11" style="1" customWidth="1"/>
    <col min="5878" max="5878" width="11.140625" style="1" bestFit="1" customWidth="1"/>
    <col min="5879" max="5879" width="10.85546875" style="1" customWidth="1"/>
    <col min="5880" max="5880" width="11.5703125" style="1" customWidth="1"/>
    <col min="5881" max="5881" width="11.140625" style="1" bestFit="1" customWidth="1"/>
    <col min="5882" max="5882" width="11" style="1" customWidth="1"/>
    <col min="5883" max="5883" width="10.42578125" style="1" customWidth="1"/>
    <col min="5884" max="5884" width="11.28515625" style="1" customWidth="1"/>
    <col min="5885" max="5886" width="9.140625" style="1" bestFit="1" customWidth="1"/>
    <col min="5887" max="5888" width="11.140625" style="1" bestFit="1" customWidth="1"/>
    <col min="5889" max="5889" width="11.5703125" style="1" bestFit="1" customWidth="1"/>
    <col min="5890" max="5890" width="9.140625" style="1" bestFit="1" customWidth="1"/>
    <col min="5891" max="5891" width="10.28515625" style="1" customWidth="1"/>
    <col min="5892" max="6130" width="9.140625" style="1"/>
    <col min="6131" max="6131" width="4.28515625" style="1" bestFit="1" customWidth="1"/>
    <col min="6132" max="6132" width="6.85546875" style="1" bestFit="1" customWidth="1"/>
    <col min="6133" max="6133" width="11" style="1" customWidth="1"/>
    <col min="6134" max="6134" width="11.140625" style="1" bestFit="1" customWidth="1"/>
    <col min="6135" max="6135" width="10.85546875" style="1" customWidth="1"/>
    <col min="6136" max="6136" width="11.5703125" style="1" customWidth="1"/>
    <col min="6137" max="6137" width="11.140625" style="1" bestFit="1" customWidth="1"/>
    <col min="6138" max="6138" width="11" style="1" customWidth="1"/>
    <col min="6139" max="6139" width="10.42578125" style="1" customWidth="1"/>
    <col min="6140" max="6140" width="11.28515625" style="1" customWidth="1"/>
    <col min="6141" max="6142" width="9.140625" style="1" bestFit="1" customWidth="1"/>
    <col min="6143" max="6144" width="11.140625" style="1" bestFit="1" customWidth="1"/>
    <col min="6145" max="6145" width="11.5703125" style="1" bestFit="1" customWidth="1"/>
    <col min="6146" max="6146" width="9.140625" style="1" bestFit="1" customWidth="1"/>
    <col min="6147" max="6147" width="10.28515625" style="1" customWidth="1"/>
    <col min="6148" max="6386" width="9.140625" style="1"/>
    <col min="6387" max="6387" width="4.28515625" style="1" bestFit="1" customWidth="1"/>
    <col min="6388" max="6388" width="6.85546875" style="1" bestFit="1" customWidth="1"/>
    <col min="6389" max="6389" width="11" style="1" customWidth="1"/>
    <col min="6390" max="6390" width="11.140625" style="1" bestFit="1" customWidth="1"/>
    <col min="6391" max="6391" width="10.85546875" style="1" customWidth="1"/>
    <col min="6392" max="6392" width="11.5703125" style="1" customWidth="1"/>
    <col min="6393" max="6393" width="11.140625" style="1" bestFit="1" customWidth="1"/>
    <col min="6394" max="6394" width="11" style="1" customWidth="1"/>
    <col min="6395" max="6395" width="10.42578125" style="1" customWidth="1"/>
    <col min="6396" max="6396" width="11.28515625" style="1" customWidth="1"/>
    <col min="6397" max="6398" width="9.140625" style="1" bestFit="1" customWidth="1"/>
    <col min="6399" max="6400" width="11.140625" style="1" bestFit="1" customWidth="1"/>
    <col min="6401" max="6401" width="11.5703125" style="1" bestFit="1" customWidth="1"/>
    <col min="6402" max="6402" width="9.140625" style="1" bestFit="1" customWidth="1"/>
    <col min="6403" max="6403" width="10.28515625" style="1" customWidth="1"/>
    <col min="6404" max="6642" width="9.140625" style="1"/>
    <col min="6643" max="6643" width="4.28515625" style="1" bestFit="1" customWidth="1"/>
    <col min="6644" max="6644" width="6.85546875" style="1" bestFit="1" customWidth="1"/>
    <col min="6645" max="6645" width="11" style="1" customWidth="1"/>
    <col min="6646" max="6646" width="11.140625" style="1" bestFit="1" customWidth="1"/>
    <col min="6647" max="6647" width="10.85546875" style="1" customWidth="1"/>
    <col min="6648" max="6648" width="11.5703125" style="1" customWidth="1"/>
    <col min="6649" max="6649" width="11.140625" style="1" bestFit="1" customWidth="1"/>
    <col min="6650" max="6650" width="11" style="1" customWidth="1"/>
    <col min="6651" max="6651" width="10.42578125" style="1" customWidth="1"/>
    <col min="6652" max="6652" width="11.28515625" style="1" customWidth="1"/>
    <col min="6653" max="6654" width="9.140625" style="1" bestFit="1" customWidth="1"/>
    <col min="6655" max="6656" width="11.140625" style="1" bestFit="1" customWidth="1"/>
    <col min="6657" max="6657" width="11.5703125" style="1" bestFit="1" customWidth="1"/>
    <col min="6658" max="6658" width="9.140625" style="1" bestFit="1" customWidth="1"/>
    <col min="6659" max="6659" width="10.28515625" style="1" customWidth="1"/>
    <col min="6660" max="6898" width="9.140625" style="1"/>
    <col min="6899" max="6899" width="4.28515625" style="1" bestFit="1" customWidth="1"/>
    <col min="6900" max="6900" width="6.85546875" style="1" bestFit="1" customWidth="1"/>
    <col min="6901" max="6901" width="11" style="1" customWidth="1"/>
    <col min="6902" max="6902" width="11.140625" style="1" bestFit="1" customWidth="1"/>
    <col min="6903" max="6903" width="10.85546875" style="1" customWidth="1"/>
    <col min="6904" max="6904" width="11.5703125" style="1" customWidth="1"/>
    <col min="6905" max="6905" width="11.140625" style="1" bestFit="1" customWidth="1"/>
    <col min="6906" max="6906" width="11" style="1" customWidth="1"/>
    <col min="6907" max="6907" width="10.42578125" style="1" customWidth="1"/>
    <col min="6908" max="6908" width="11.28515625" style="1" customWidth="1"/>
    <col min="6909" max="6910" width="9.140625" style="1" bestFit="1" customWidth="1"/>
    <col min="6911" max="6912" width="11.140625" style="1" bestFit="1" customWidth="1"/>
    <col min="6913" max="6913" width="11.5703125" style="1" bestFit="1" customWidth="1"/>
    <col min="6914" max="6914" width="9.140625" style="1" bestFit="1" customWidth="1"/>
    <col min="6915" max="6915" width="10.28515625" style="1" customWidth="1"/>
    <col min="6916" max="7154" width="9.140625" style="1"/>
    <col min="7155" max="7155" width="4.28515625" style="1" bestFit="1" customWidth="1"/>
    <col min="7156" max="7156" width="6.85546875" style="1" bestFit="1" customWidth="1"/>
    <col min="7157" max="7157" width="11" style="1" customWidth="1"/>
    <col min="7158" max="7158" width="11.140625" style="1" bestFit="1" customWidth="1"/>
    <col min="7159" max="7159" width="10.85546875" style="1" customWidth="1"/>
    <col min="7160" max="7160" width="11.5703125" style="1" customWidth="1"/>
    <col min="7161" max="7161" width="11.140625" style="1" bestFit="1" customWidth="1"/>
    <col min="7162" max="7162" width="11" style="1" customWidth="1"/>
    <col min="7163" max="7163" width="10.42578125" style="1" customWidth="1"/>
    <col min="7164" max="7164" width="11.28515625" style="1" customWidth="1"/>
    <col min="7165" max="7166" width="9.140625" style="1" bestFit="1" customWidth="1"/>
    <col min="7167" max="7168" width="11.140625" style="1" bestFit="1" customWidth="1"/>
    <col min="7169" max="7169" width="11.5703125" style="1" bestFit="1" customWidth="1"/>
    <col min="7170" max="7170" width="9.140625" style="1" bestFit="1" customWidth="1"/>
    <col min="7171" max="7171" width="10.28515625" style="1" customWidth="1"/>
    <col min="7172" max="7410" width="9.140625" style="1"/>
    <col min="7411" max="7411" width="4.28515625" style="1" bestFit="1" customWidth="1"/>
    <col min="7412" max="7412" width="6.85546875" style="1" bestFit="1" customWidth="1"/>
    <col min="7413" max="7413" width="11" style="1" customWidth="1"/>
    <col min="7414" max="7414" width="11.140625" style="1" bestFit="1" customWidth="1"/>
    <col min="7415" max="7415" width="10.85546875" style="1" customWidth="1"/>
    <col min="7416" max="7416" width="11.5703125" style="1" customWidth="1"/>
    <col min="7417" max="7417" width="11.140625" style="1" bestFit="1" customWidth="1"/>
    <col min="7418" max="7418" width="11" style="1" customWidth="1"/>
    <col min="7419" max="7419" width="10.42578125" style="1" customWidth="1"/>
    <col min="7420" max="7420" width="11.28515625" style="1" customWidth="1"/>
    <col min="7421" max="7422" width="9.140625" style="1" bestFit="1" customWidth="1"/>
    <col min="7423" max="7424" width="11.140625" style="1" bestFit="1" customWidth="1"/>
    <col min="7425" max="7425" width="11.5703125" style="1" bestFit="1" customWidth="1"/>
    <col min="7426" max="7426" width="9.140625" style="1" bestFit="1" customWidth="1"/>
    <col min="7427" max="7427" width="10.28515625" style="1" customWidth="1"/>
    <col min="7428" max="7666" width="9.140625" style="1"/>
    <col min="7667" max="7667" width="4.28515625" style="1" bestFit="1" customWidth="1"/>
    <col min="7668" max="7668" width="6.85546875" style="1" bestFit="1" customWidth="1"/>
    <col min="7669" max="7669" width="11" style="1" customWidth="1"/>
    <col min="7670" max="7670" width="11.140625" style="1" bestFit="1" customWidth="1"/>
    <col min="7671" max="7671" width="10.85546875" style="1" customWidth="1"/>
    <col min="7672" max="7672" width="11.5703125" style="1" customWidth="1"/>
    <col min="7673" max="7673" width="11.140625" style="1" bestFit="1" customWidth="1"/>
    <col min="7674" max="7674" width="11" style="1" customWidth="1"/>
    <col min="7675" max="7675" width="10.42578125" style="1" customWidth="1"/>
    <col min="7676" max="7676" width="11.28515625" style="1" customWidth="1"/>
    <col min="7677" max="7678" width="9.140625" style="1" bestFit="1" customWidth="1"/>
    <col min="7679" max="7680" width="11.140625" style="1" bestFit="1" customWidth="1"/>
    <col min="7681" max="7681" width="11.5703125" style="1" bestFit="1" customWidth="1"/>
    <col min="7682" max="7682" width="9.140625" style="1" bestFit="1" customWidth="1"/>
    <col min="7683" max="7683" width="10.28515625" style="1" customWidth="1"/>
    <col min="7684" max="7922" width="9.140625" style="1"/>
    <col min="7923" max="7923" width="4.28515625" style="1" bestFit="1" customWidth="1"/>
    <col min="7924" max="7924" width="6.85546875" style="1" bestFit="1" customWidth="1"/>
    <col min="7925" max="7925" width="11" style="1" customWidth="1"/>
    <col min="7926" max="7926" width="11.140625" style="1" bestFit="1" customWidth="1"/>
    <col min="7927" max="7927" width="10.85546875" style="1" customWidth="1"/>
    <col min="7928" max="7928" width="11.5703125" style="1" customWidth="1"/>
    <col min="7929" max="7929" width="11.140625" style="1" bestFit="1" customWidth="1"/>
    <col min="7930" max="7930" width="11" style="1" customWidth="1"/>
    <col min="7931" max="7931" width="10.42578125" style="1" customWidth="1"/>
    <col min="7932" max="7932" width="11.28515625" style="1" customWidth="1"/>
    <col min="7933" max="7934" width="9.140625" style="1" bestFit="1" customWidth="1"/>
    <col min="7935" max="7936" width="11.140625" style="1" bestFit="1" customWidth="1"/>
    <col min="7937" max="7937" width="11.5703125" style="1" bestFit="1" customWidth="1"/>
    <col min="7938" max="7938" width="9.140625" style="1" bestFit="1" customWidth="1"/>
    <col min="7939" max="7939" width="10.28515625" style="1" customWidth="1"/>
    <col min="7940" max="8178" width="9.140625" style="1"/>
    <col min="8179" max="8179" width="4.28515625" style="1" bestFit="1" customWidth="1"/>
    <col min="8180" max="8180" width="6.85546875" style="1" bestFit="1" customWidth="1"/>
    <col min="8181" max="8181" width="11" style="1" customWidth="1"/>
    <col min="8182" max="8182" width="11.140625" style="1" bestFit="1" customWidth="1"/>
    <col min="8183" max="8183" width="10.85546875" style="1" customWidth="1"/>
    <col min="8184" max="8184" width="11.5703125" style="1" customWidth="1"/>
    <col min="8185" max="8185" width="11.140625" style="1" bestFit="1" customWidth="1"/>
    <col min="8186" max="8186" width="11" style="1" customWidth="1"/>
    <col min="8187" max="8187" width="10.42578125" style="1" customWidth="1"/>
    <col min="8188" max="8188" width="11.28515625" style="1" customWidth="1"/>
    <col min="8189" max="8190" width="9.140625" style="1" bestFit="1" customWidth="1"/>
    <col min="8191" max="8192" width="11.140625" style="1" bestFit="1" customWidth="1"/>
    <col min="8193" max="8193" width="11.5703125" style="1" bestFit="1" customWidth="1"/>
    <col min="8194" max="8194" width="9.140625" style="1" bestFit="1" customWidth="1"/>
    <col min="8195" max="8195" width="10.28515625" style="1" customWidth="1"/>
    <col min="8196" max="8434" width="9.140625" style="1"/>
    <col min="8435" max="8435" width="4.28515625" style="1" bestFit="1" customWidth="1"/>
    <col min="8436" max="8436" width="6.85546875" style="1" bestFit="1" customWidth="1"/>
    <col min="8437" max="8437" width="11" style="1" customWidth="1"/>
    <col min="8438" max="8438" width="11.140625" style="1" bestFit="1" customWidth="1"/>
    <col min="8439" max="8439" width="10.85546875" style="1" customWidth="1"/>
    <col min="8440" max="8440" width="11.5703125" style="1" customWidth="1"/>
    <col min="8441" max="8441" width="11.140625" style="1" bestFit="1" customWidth="1"/>
    <col min="8442" max="8442" width="11" style="1" customWidth="1"/>
    <col min="8443" max="8443" width="10.42578125" style="1" customWidth="1"/>
    <col min="8444" max="8444" width="11.28515625" style="1" customWidth="1"/>
    <col min="8445" max="8446" width="9.140625" style="1" bestFit="1" customWidth="1"/>
    <col min="8447" max="8448" width="11.140625" style="1" bestFit="1" customWidth="1"/>
    <col min="8449" max="8449" width="11.5703125" style="1" bestFit="1" customWidth="1"/>
    <col min="8450" max="8450" width="9.140625" style="1" bestFit="1" customWidth="1"/>
    <col min="8451" max="8451" width="10.28515625" style="1" customWidth="1"/>
    <col min="8452" max="8690" width="9.140625" style="1"/>
    <col min="8691" max="8691" width="4.28515625" style="1" bestFit="1" customWidth="1"/>
    <col min="8692" max="8692" width="6.85546875" style="1" bestFit="1" customWidth="1"/>
    <col min="8693" max="8693" width="11" style="1" customWidth="1"/>
    <col min="8694" max="8694" width="11.140625" style="1" bestFit="1" customWidth="1"/>
    <col min="8695" max="8695" width="10.85546875" style="1" customWidth="1"/>
    <col min="8696" max="8696" width="11.5703125" style="1" customWidth="1"/>
    <col min="8697" max="8697" width="11.140625" style="1" bestFit="1" customWidth="1"/>
    <col min="8698" max="8698" width="11" style="1" customWidth="1"/>
    <col min="8699" max="8699" width="10.42578125" style="1" customWidth="1"/>
    <col min="8700" max="8700" width="11.28515625" style="1" customWidth="1"/>
    <col min="8701" max="8702" width="9.140625" style="1" bestFit="1" customWidth="1"/>
    <col min="8703" max="8704" width="11.140625" style="1" bestFit="1" customWidth="1"/>
    <col min="8705" max="8705" width="11.5703125" style="1" bestFit="1" customWidth="1"/>
    <col min="8706" max="8706" width="9.140625" style="1" bestFit="1" customWidth="1"/>
    <col min="8707" max="8707" width="10.28515625" style="1" customWidth="1"/>
    <col min="8708" max="8946" width="9.140625" style="1"/>
    <col min="8947" max="8947" width="4.28515625" style="1" bestFit="1" customWidth="1"/>
    <col min="8948" max="8948" width="6.85546875" style="1" bestFit="1" customWidth="1"/>
    <col min="8949" max="8949" width="11" style="1" customWidth="1"/>
    <col min="8950" max="8950" width="11.140625" style="1" bestFit="1" customWidth="1"/>
    <col min="8951" max="8951" width="10.85546875" style="1" customWidth="1"/>
    <col min="8952" max="8952" width="11.5703125" style="1" customWidth="1"/>
    <col min="8953" max="8953" width="11.140625" style="1" bestFit="1" customWidth="1"/>
    <col min="8954" max="8954" width="11" style="1" customWidth="1"/>
    <col min="8955" max="8955" width="10.42578125" style="1" customWidth="1"/>
    <col min="8956" max="8956" width="11.28515625" style="1" customWidth="1"/>
    <col min="8957" max="8958" width="9.140625" style="1" bestFit="1" customWidth="1"/>
    <col min="8959" max="8960" width="11.140625" style="1" bestFit="1" customWidth="1"/>
    <col min="8961" max="8961" width="11.5703125" style="1" bestFit="1" customWidth="1"/>
    <col min="8962" max="8962" width="9.140625" style="1" bestFit="1" customWidth="1"/>
    <col min="8963" max="8963" width="10.28515625" style="1" customWidth="1"/>
    <col min="8964" max="9202" width="9.140625" style="1"/>
    <col min="9203" max="9203" width="4.28515625" style="1" bestFit="1" customWidth="1"/>
    <col min="9204" max="9204" width="6.85546875" style="1" bestFit="1" customWidth="1"/>
    <col min="9205" max="9205" width="11" style="1" customWidth="1"/>
    <col min="9206" max="9206" width="11.140625" style="1" bestFit="1" customWidth="1"/>
    <col min="9207" max="9207" width="10.85546875" style="1" customWidth="1"/>
    <col min="9208" max="9208" width="11.5703125" style="1" customWidth="1"/>
    <col min="9209" max="9209" width="11.140625" style="1" bestFit="1" customWidth="1"/>
    <col min="9210" max="9210" width="11" style="1" customWidth="1"/>
    <col min="9211" max="9211" width="10.42578125" style="1" customWidth="1"/>
    <col min="9212" max="9212" width="11.28515625" style="1" customWidth="1"/>
    <col min="9213" max="9214" width="9.140625" style="1" bestFit="1" customWidth="1"/>
    <col min="9215" max="9216" width="11.140625" style="1" bestFit="1" customWidth="1"/>
    <col min="9217" max="9217" width="11.5703125" style="1" bestFit="1" customWidth="1"/>
    <col min="9218" max="9218" width="9.140625" style="1" bestFit="1" customWidth="1"/>
    <col min="9219" max="9219" width="10.28515625" style="1" customWidth="1"/>
    <col min="9220" max="9458" width="9.140625" style="1"/>
    <col min="9459" max="9459" width="4.28515625" style="1" bestFit="1" customWidth="1"/>
    <col min="9460" max="9460" width="6.85546875" style="1" bestFit="1" customWidth="1"/>
    <col min="9461" max="9461" width="11" style="1" customWidth="1"/>
    <col min="9462" max="9462" width="11.140625" style="1" bestFit="1" customWidth="1"/>
    <col min="9463" max="9463" width="10.85546875" style="1" customWidth="1"/>
    <col min="9464" max="9464" width="11.5703125" style="1" customWidth="1"/>
    <col min="9465" max="9465" width="11.140625" style="1" bestFit="1" customWidth="1"/>
    <col min="9466" max="9466" width="11" style="1" customWidth="1"/>
    <col min="9467" max="9467" width="10.42578125" style="1" customWidth="1"/>
    <col min="9468" max="9468" width="11.28515625" style="1" customWidth="1"/>
    <col min="9469" max="9470" width="9.140625" style="1" bestFit="1" customWidth="1"/>
    <col min="9471" max="9472" width="11.140625" style="1" bestFit="1" customWidth="1"/>
    <col min="9473" max="9473" width="11.5703125" style="1" bestFit="1" customWidth="1"/>
    <col min="9474" max="9474" width="9.140625" style="1" bestFit="1" customWidth="1"/>
    <col min="9475" max="9475" width="10.28515625" style="1" customWidth="1"/>
    <col min="9476" max="9714" width="9.140625" style="1"/>
    <col min="9715" max="9715" width="4.28515625" style="1" bestFit="1" customWidth="1"/>
    <col min="9716" max="9716" width="6.85546875" style="1" bestFit="1" customWidth="1"/>
    <col min="9717" max="9717" width="11" style="1" customWidth="1"/>
    <col min="9718" max="9718" width="11.140625" style="1" bestFit="1" customWidth="1"/>
    <col min="9719" max="9719" width="10.85546875" style="1" customWidth="1"/>
    <col min="9720" max="9720" width="11.5703125" style="1" customWidth="1"/>
    <col min="9721" max="9721" width="11.140625" style="1" bestFit="1" customWidth="1"/>
    <col min="9722" max="9722" width="11" style="1" customWidth="1"/>
    <col min="9723" max="9723" width="10.42578125" style="1" customWidth="1"/>
    <col min="9724" max="9724" width="11.28515625" style="1" customWidth="1"/>
    <col min="9725" max="9726" width="9.140625" style="1" bestFit="1" customWidth="1"/>
    <col min="9727" max="9728" width="11.140625" style="1" bestFit="1" customWidth="1"/>
    <col min="9729" max="9729" width="11.5703125" style="1" bestFit="1" customWidth="1"/>
    <col min="9730" max="9730" width="9.140625" style="1" bestFit="1" customWidth="1"/>
    <col min="9731" max="9731" width="10.28515625" style="1" customWidth="1"/>
    <col min="9732" max="9970" width="9.140625" style="1"/>
    <col min="9971" max="9971" width="4.28515625" style="1" bestFit="1" customWidth="1"/>
    <col min="9972" max="9972" width="6.85546875" style="1" bestFit="1" customWidth="1"/>
    <col min="9973" max="9973" width="11" style="1" customWidth="1"/>
    <col min="9974" max="9974" width="11.140625" style="1" bestFit="1" customWidth="1"/>
    <col min="9975" max="9975" width="10.85546875" style="1" customWidth="1"/>
    <col min="9976" max="9976" width="11.5703125" style="1" customWidth="1"/>
    <col min="9977" max="9977" width="11.140625" style="1" bestFit="1" customWidth="1"/>
    <col min="9978" max="9978" width="11" style="1" customWidth="1"/>
    <col min="9979" max="9979" width="10.42578125" style="1" customWidth="1"/>
    <col min="9980" max="9980" width="11.28515625" style="1" customWidth="1"/>
    <col min="9981" max="9982" width="9.140625" style="1" bestFit="1" customWidth="1"/>
    <col min="9983" max="9984" width="11.140625" style="1" bestFit="1" customWidth="1"/>
    <col min="9985" max="9985" width="11.5703125" style="1" bestFit="1" customWidth="1"/>
    <col min="9986" max="9986" width="9.140625" style="1" bestFit="1" customWidth="1"/>
    <col min="9987" max="9987" width="10.28515625" style="1" customWidth="1"/>
    <col min="9988" max="10226" width="9.140625" style="1"/>
    <col min="10227" max="10227" width="4.28515625" style="1" bestFit="1" customWidth="1"/>
    <col min="10228" max="10228" width="6.85546875" style="1" bestFit="1" customWidth="1"/>
    <col min="10229" max="10229" width="11" style="1" customWidth="1"/>
    <col min="10230" max="10230" width="11.140625" style="1" bestFit="1" customWidth="1"/>
    <col min="10231" max="10231" width="10.85546875" style="1" customWidth="1"/>
    <col min="10232" max="10232" width="11.5703125" style="1" customWidth="1"/>
    <col min="10233" max="10233" width="11.140625" style="1" bestFit="1" customWidth="1"/>
    <col min="10234" max="10234" width="11" style="1" customWidth="1"/>
    <col min="10235" max="10235" width="10.42578125" style="1" customWidth="1"/>
    <col min="10236" max="10236" width="11.28515625" style="1" customWidth="1"/>
    <col min="10237" max="10238" width="9.140625" style="1" bestFit="1" customWidth="1"/>
    <col min="10239" max="10240" width="11.140625" style="1" bestFit="1" customWidth="1"/>
    <col min="10241" max="10241" width="11.5703125" style="1" bestFit="1" customWidth="1"/>
    <col min="10242" max="10242" width="9.140625" style="1" bestFit="1" customWidth="1"/>
    <col min="10243" max="10243" width="10.28515625" style="1" customWidth="1"/>
    <col min="10244" max="10482" width="9.140625" style="1"/>
    <col min="10483" max="10483" width="4.28515625" style="1" bestFit="1" customWidth="1"/>
    <col min="10484" max="10484" width="6.85546875" style="1" bestFit="1" customWidth="1"/>
    <col min="10485" max="10485" width="11" style="1" customWidth="1"/>
    <col min="10486" max="10486" width="11.140625" style="1" bestFit="1" customWidth="1"/>
    <col min="10487" max="10487" width="10.85546875" style="1" customWidth="1"/>
    <col min="10488" max="10488" width="11.5703125" style="1" customWidth="1"/>
    <col min="10489" max="10489" width="11.140625" style="1" bestFit="1" customWidth="1"/>
    <col min="10490" max="10490" width="11" style="1" customWidth="1"/>
    <col min="10491" max="10491" width="10.42578125" style="1" customWidth="1"/>
    <col min="10492" max="10492" width="11.28515625" style="1" customWidth="1"/>
    <col min="10493" max="10494" width="9.140625" style="1" bestFit="1" customWidth="1"/>
    <col min="10495" max="10496" width="11.140625" style="1" bestFit="1" customWidth="1"/>
    <col min="10497" max="10497" width="11.5703125" style="1" bestFit="1" customWidth="1"/>
    <col min="10498" max="10498" width="9.140625" style="1" bestFit="1" customWidth="1"/>
    <col min="10499" max="10499" width="10.28515625" style="1" customWidth="1"/>
    <col min="10500" max="10738" width="9.140625" style="1"/>
    <col min="10739" max="10739" width="4.28515625" style="1" bestFit="1" customWidth="1"/>
    <col min="10740" max="10740" width="6.85546875" style="1" bestFit="1" customWidth="1"/>
    <col min="10741" max="10741" width="11" style="1" customWidth="1"/>
    <col min="10742" max="10742" width="11.140625" style="1" bestFit="1" customWidth="1"/>
    <col min="10743" max="10743" width="10.85546875" style="1" customWidth="1"/>
    <col min="10744" max="10744" width="11.5703125" style="1" customWidth="1"/>
    <col min="10745" max="10745" width="11.140625" style="1" bestFit="1" customWidth="1"/>
    <col min="10746" max="10746" width="11" style="1" customWidth="1"/>
    <col min="10747" max="10747" width="10.42578125" style="1" customWidth="1"/>
    <col min="10748" max="10748" width="11.28515625" style="1" customWidth="1"/>
    <col min="10749" max="10750" width="9.140625" style="1" bestFit="1" customWidth="1"/>
    <col min="10751" max="10752" width="11.140625" style="1" bestFit="1" customWidth="1"/>
    <col min="10753" max="10753" width="11.5703125" style="1" bestFit="1" customWidth="1"/>
    <col min="10754" max="10754" width="9.140625" style="1" bestFit="1" customWidth="1"/>
    <col min="10755" max="10755" width="10.28515625" style="1" customWidth="1"/>
    <col min="10756" max="10994" width="9.140625" style="1"/>
    <col min="10995" max="10995" width="4.28515625" style="1" bestFit="1" customWidth="1"/>
    <col min="10996" max="10996" width="6.85546875" style="1" bestFit="1" customWidth="1"/>
    <col min="10997" max="10997" width="11" style="1" customWidth="1"/>
    <col min="10998" max="10998" width="11.140625" style="1" bestFit="1" customWidth="1"/>
    <col min="10999" max="10999" width="10.85546875" style="1" customWidth="1"/>
    <col min="11000" max="11000" width="11.5703125" style="1" customWidth="1"/>
    <col min="11001" max="11001" width="11.140625" style="1" bestFit="1" customWidth="1"/>
    <col min="11002" max="11002" width="11" style="1" customWidth="1"/>
    <col min="11003" max="11003" width="10.42578125" style="1" customWidth="1"/>
    <col min="11004" max="11004" width="11.28515625" style="1" customWidth="1"/>
    <col min="11005" max="11006" width="9.140625" style="1" bestFit="1" customWidth="1"/>
    <col min="11007" max="11008" width="11.140625" style="1" bestFit="1" customWidth="1"/>
    <col min="11009" max="11009" width="11.5703125" style="1" bestFit="1" customWidth="1"/>
    <col min="11010" max="11010" width="9.140625" style="1" bestFit="1" customWidth="1"/>
    <col min="11011" max="11011" width="10.28515625" style="1" customWidth="1"/>
    <col min="11012" max="11250" width="9.140625" style="1"/>
    <col min="11251" max="11251" width="4.28515625" style="1" bestFit="1" customWidth="1"/>
    <col min="11252" max="11252" width="6.85546875" style="1" bestFit="1" customWidth="1"/>
    <col min="11253" max="11253" width="11" style="1" customWidth="1"/>
    <col min="11254" max="11254" width="11.140625" style="1" bestFit="1" customWidth="1"/>
    <col min="11255" max="11255" width="10.85546875" style="1" customWidth="1"/>
    <col min="11256" max="11256" width="11.5703125" style="1" customWidth="1"/>
    <col min="11257" max="11257" width="11.140625" style="1" bestFit="1" customWidth="1"/>
    <col min="11258" max="11258" width="11" style="1" customWidth="1"/>
    <col min="11259" max="11259" width="10.42578125" style="1" customWidth="1"/>
    <col min="11260" max="11260" width="11.28515625" style="1" customWidth="1"/>
    <col min="11261" max="11262" width="9.140625" style="1" bestFit="1" customWidth="1"/>
    <col min="11263" max="11264" width="11.140625" style="1" bestFit="1" customWidth="1"/>
    <col min="11265" max="11265" width="11.5703125" style="1" bestFit="1" customWidth="1"/>
    <col min="11266" max="11266" width="9.140625" style="1" bestFit="1" customWidth="1"/>
    <col min="11267" max="11267" width="10.28515625" style="1" customWidth="1"/>
    <col min="11268" max="11506" width="9.140625" style="1"/>
    <col min="11507" max="11507" width="4.28515625" style="1" bestFit="1" customWidth="1"/>
    <col min="11508" max="11508" width="6.85546875" style="1" bestFit="1" customWidth="1"/>
    <col min="11509" max="11509" width="11" style="1" customWidth="1"/>
    <col min="11510" max="11510" width="11.140625" style="1" bestFit="1" customWidth="1"/>
    <col min="11511" max="11511" width="10.85546875" style="1" customWidth="1"/>
    <col min="11512" max="11512" width="11.5703125" style="1" customWidth="1"/>
    <col min="11513" max="11513" width="11.140625" style="1" bestFit="1" customWidth="1"/>
    <col min="11514" max="11514" width="11" style="1" customWidth="1"/>
    <col min="11515" max="11515" width="10.42578125" style="1" customWidth="1"/>
    <col min="11516" max="11516" width="11.28515625" style="1" customWidth="1"/>
    <col min="11517" max="11518" width="9.140625" style="1" bestFit="1" customWidth="1"/>
    <col min="11519" max="11520" width="11.140625" style="1" bestFit="1" customWidth="1"/>
    <col min="11521" max="11521" width="11.5703125" style="1" bestFit="1" customWidth="1"/>
    <col min="11522" max="11522" width="9.140625" style="1" bestFit="1" customWidth="1"/>
    <col min="11523" max="11523" width="10.28515625" style="1" customWidth="1"/>
    <col min="11524" max="11762" width="9.140625" style="1"/>
    <col min="11763" max="11763" width="4.28515625" style="1" bestFit="1" customWidth="1"/>
    <col min="11764" max="11764" width="6.85546875" style="1" bestFit="1" customWidth="1"/>
    <col min="11765" max="11765" width="11" style="1" customWidth="1"/>
    <col min="11766" max="11766" width="11.140625" style="1" bestFit="1" customWidth="1"/>
    <col min="11767" max="11767" width="10.85546875" style="1" customWidth="1"/>
    <col min="11768" max="11768" width="11.5703125" style="1" customWidth="1"/>
    <col min="11769" max="11769" width="11.140625" style="1" bestFit="1" customWidth="1"/>
    <col min="11770" max="11770" width="11" style="1" customWidth="1"/>
    <col min="11771" max="11771" width="10.42578125" style="1" customWidth="1"/>
    <col min="11772" max="11772" width="11.28515625" style="1" customWidth="1"/>
    <col min="11773" max="11774" width="9.140625" style="1" bestFit="1" customWidth="1"/>
    <col min="11775" max="11776" width="11.140625" style="1" bestFit="1" customWidth="1"/>
    <col min="11777" max="11777" width="11.5703125" style="1" bestFit="1" customWidth="1"/>
    <col min="11778" max="11778" width="9.140625" style="1" bestFit="1" customWidth="1"/>
    <col min="11779" max="11779" width="10.28515625" style="1" customWidth="1"/>
    <col min="11780" max="12018" width="9.140625" style="1"/>
    <col min="12019" max="12019" width="4.28515625" style="1" bestFit="1" customWidth="1"/>
    <col min="12020" max="12020" width="6.85546875" style="1" bestFit="1" customWidth="1"/>
    <col min="12021" max="12021" width="11" style="1" customWidth="1"/>
    <col min="12022" max="12022" width="11.140625" style="1" bestFit="1" customWidth="1"/>
    <col min="12023" max="12023" width="10.85546875" style="1" customWidth="1"/>
    <col min="12024" max="12024" width="11.5703125" style="1" customWidth="1"/>
    <col min="12025" max="12025" width="11.140625" style="1" bestFit="1" customWidth="1"/>
    <col min="12026" max="12026" width="11" style="1" customWidth="1"/>
    <col min="12027" max="12027" width="10.42578125" style="1" customWidth="1"/>
    <col min="12028" max="12028" width="11.28515625" style="1" customWidth="1"/>
    <col min="12029" max="12030" width="9.140625" style="1" bestFit="1" customWidth="1"/>
    <col min="12031" max="12032" width="11.140625" style="1" bestFit="1" customWidth="1"/>
    <col min="12033" max="12033" width="11.5703125" style="1" bestFit="1" customWidth="1"/>
    <col min="12034" max="12034" width="9.140625" style="1" bestFit="1" customWidth="1"/>
    <col min="12035" max="12035" width="10.28515625" style="1" customWidth="1"/>
    <col min="12036" max="12274" width="9.140625" style="1"/>
    <col min="12275" max="12275" width="4.28515625" style="1" bestFit="1" customWidth="1"/>
    <col min="12276" max="12276" width="6.85546875" style="1" bestFit="1" customWidth="1"/>
    <col min="12277" max="12277" width="11" style="1" customWidth="1"/>
    <col min="12278" max="12278" width="11.140625" style="1" bestFit="1" customWidth="1"/>
    <col min="12279" max="12279" width="10.85546875" style="1" customWidth="1"/>
    <col min="12280" max="12280" width="11.5703125" style="1" customWidth="1"/>
    <col min="12281" max="12281" width="11.140625" style="1" bestFit="1" customWidth="1"/>
    <col min="12282" max="12282" width="11" style="1" customWidth="1"/>
    <col min="12283" max="12283" width="10.42578125" style="1" customWidth="1"/>
    <col min="12284" max="12284" width="11.28515625" style="1" customWidth="1"/>
    <col min="12285" max="12286" width="9.140625" style="1" bestFit="1" customWidth="1"/>
    <col min="12287" max="12288" width="11.140625" style="1" bestFit="1" customWidth="1"/>
    <col min="12289" max="12289" width="11.5703125" style="1" bestFit="1" customWidth="1"/>
    <col min="12290" max="12290" width="9.140625" style="1" bestFit="1" customWidth="1"/>
    <col min="12291" max="12291" width="10.28515625" style="1" customWidth="1"/>
    <col min="12292" max="12530" width="9.140625" style="1"/>
    <col min="12531" max="12531" width="4.28515625" style="1" bestFit="1" customWidth="1"/>
    <col min="12532" max="12532" width="6.85546875" style="1" bestFit="1" customWidth="1"/>
    <col min="12533" max="12533" width="11" style="1" customWidth="1"/>
    <col min="12534" max="12534" width="11.140625" style="1" bestFit="1" customWidth="1"/>
    <col min="12535" max="12535" width="10.85546875" style="1" customWidth="1"/>
    <col min="12536" max="12536" width="11.5703125" style="1" customWidth="1"/>
    <col min="12537" max="12537" width="11.140625" style="1" bestFit="1" customWidth="1"/>
    <col min="12538" max="12538" width="11" style="1" customWidth="1"/>
    <col min="12539" max="12539" width="10.42578125" style="1" customWidth="1"/>
    <col min="12540" max="12540" width="11.28515625" style="1" customWidth="1"/>
    <col min="12541" max="12542" width="9.140625" style="1" bestFit="1" customWidth="1"/>
    <col min="12543" max="12544" width="11.140625" style="1" bestFit="1" customWidth="1"/>
    <col min="12545" max="12545" width="11.5703125" style="1" bestFit="1" customWidth="1"/>
    <col min="12546" max="12546" width="9.140625" style="1" bestFit="1" customWidth="1"/>
    <col min="12547" max="12547" width="10.28515625" style="1" customWidth="1"/>
    <col min="12548" max="12786" width="9.140625" style="1"/>
    <col min="12787" max="12787" width="4.28515625" style="1" bestFit="1" customWidth="1"/>
    <col min="12788" max="12788" width="6.85546875" style="1" bestFit="1" customWidth="1"/>
    <col min="12789" max="12789" width="11" style="1" customWidth="1"/>
    <col min="12790" max="12790" width="11.140625" style="1" bestFit="1" customWidth="1"/>
    <col min="12791" max="12791" width="10.85546875" style="1" customWidth="1"/>
    <col min="12792" max="12792" width="11.5703125" style="1" customWidth="1"/>
    <col min="12793" max="12793" width="11.140625" style="1" bestFit="1" customWidth="1"/>
    <col min="12794" max="12794" width="11" style="1" customWidth="1"/>
    <col min="12795" max="12795" width="10.42578125" style="1" customWidth="1"/>
    <col min="12796" max="12796" width="11.28515625" style="1" customWidth="1"/>
    <col min="12797" max="12798" width="9.140625" style="1" bestFit="1" customWidth="1"/>
    <col min="12799" max="12800" width="11.140625" style="1" bestFit="1" customWidth="1"/>
    <col min="12801" max="12801" width="11.5703125" style="1" bestFit="1" customWidth="1"/>
    <col min="12802" max="12802" width="9.140625" style="1" bestFit="1" customWidth="1"/>
    <col min="12803" max="12803" width="10.28515625" style="1" customWidth="1"/>
    <col min="12804" max="13042" width="9.140625" style="1"/>
    <col min="13043" max="13043" width="4.28515625" style="1" bestFit="1" customWidth="1"/>
    <col min="13044" max="13044" width="6.85546875" style="1" bestFit="1" customWidth="1"/>
    <col min="13045" max="13045" width="11" style="1" customWidth="1"/>
    <col min="13046" max="13046" width="11.140625" style="1" bestFit="1" customWidth="1"/>
    <col min="13047" max="13047" width="10.85546875" style="1" customWidth="1"/>
    <col min="13048" max="13048" width="11.5703125" style="1" customWidth="1"/>
    <col min="13049" max="13049" width="11.140625" style="1" bestFit="1" customWidth="1"/>
    <col min="13050" max="13050" width="11" style="1" customWidth="1"/>
    <col min="13051" max="13051" width="10.42578125" style="1" customWidth="1"/>
    <col min="13052" max="13052" width="11.28515625" style="1" customWidth="1"/>
    <col min="13053" max="13054" width="9.140625" style="1" bestFit="1" customWidth="1"/>
    <col min="13055" max="13056" width="11.140625" style="1" bestFit="1" customWidth="1"/>
    <col min="13057" max="13057" width="11.5703125" style="1" bestFit="1" customWidth="1"/>
    <col min="13058" max="13058" width="9.140625" style="1" bestFit="1" customWidth="1"/>
    <col min="13059" max="13059" width="10.28515625" style="1" customWidth="1"/>
    <col min="13060" max="13298" width="9.140625" style="1"/>
    <col min="13299" max="13299" width="4.28515625" style="1" bestFit="1" customWidth="1"/>
    <col min="13300" max="13300" width="6.85546875" style="1" bestFit="1" customWidth="1"/>
    <col min="13301" max="13301" width="11" style="1" customWidth="1"/>
    <col min="13302" max="13302" width="11.140625" style="1" bestFit="1" customWidth="1"/>
    <col min="13303" max="13303" width="10.85546875" style="1" customWidth="1"/>
    <col min="13304" max="13304" width="11.5703125" style="1" customWidth="1"/>
    <col min="13305" max="13305" width="11.140625" style="1" bestFit="1" customWidth="1"/>
    <col min="13306" max="13306" width="11" style="1" customWidth="1"/>
    <col min="13307" max="13307" width="10.42578125" style="1" customWidth="1"/>
    <col min="13308" max="13308" width="11.28515625" style="1" customWidth="1"/>
    <col min="13309" max="13310" width="9.140625" style="1" bestFit="1" customWidth="1"/>
    <col min="13311" max="13312" width="11.140625" style="1" bestFit="1" customWidth="1"/>
    <col min="13313" max="13313" width="11.5703125" style="1" bestFit="1" customWidth="1"/>
    <col min="13314" max="13314" width="9.140625" style="1" bestFit="1" customWidth="1"/>
    <col min="13315" max="13315" width="10.28515625" style="1" customWidth="1"/>
    <col min="13316" max="13554" width="9.140625" style="1"/>
    <col min="13555" max="13555" width="4.28515625" style="1" bestFit="1" customWidth="1"/>
    <col min="13556" max="13556" width="6.85546875" style="1" bestFit="1" customWidth="1"/>
    <col min="13557" max="13557" width="11" style="1" customWidth="1"/>
    <col min="13558" max="13558" width="11.140625" style="1" bestFit="1" customWidth="1"/>
    <col min="13559" max="13559" width="10.85546875" style="1" customWidth="1"/>
    <col min="13560" max="13560" width="11.5703125" style="1" customWidth="1"/>
    <col min="13561" max="13561" width="11.140625" style="1" bestFit="1" customWidth="1"/>
    <col min="13562" max="13562" width="11" style="1" customWidth="1"/>
    <col min="13563" max="13563" width="10.42578125" style="1" customWidth="1"/>
    <col min="13564" max="13564" width="11.28515625" style="1" customWidth="1"/>
    <col min="13565" max="13566" width="9.140625" style="1" bestFit="1" customWidth="1"/>
    <col min="13567" max="13568" width="11.140625" style="1" bestFit="1" customWidth="1"/>
    <col min="13569" max="13569" width="11.5703125" style="1" bestFit="1" customWidth="1"/>
    <col min="13570" max="13570" width="9.140625" style="1" bestFit="1" customWidth="1"/>
    <col min="13571" max="13571" width="10.28515625" style="1" customWidth="1"/>
    <col min="13572" max="13810" width="9.140625" style="1"/>
    <col min="13811" max="13811" width="4.28515625" style="1" bestFit="1" customWidth="1"/>
    <col min="13812" max="13812" width="6.85546875" style="1" bestFit="1" customWidth="1"/>
    <col min="13813" max="13813" width="11" style="1" customWidth="1"/>
    <col min="13814" max="13814" width="11.140625" style="1" bestFit="1" customWidth="1"/>
    <col min="13815" max="13815" width="10.85546875" style="1" customWidth="1"/>
    <col min="13816" max="13816" width="11.5703125" style="1" customWidth="1"/>
    <col min="13817" max="13817" width="11.140625" style="1" bestFit="1" customWidth="1"/>
    <col min="13818" max="13818" width="11" style="1" customWidth="1"/>
    <col min="13819" max="13819" width="10.42578125" style="1" customWidth="1"/>
    <col min="13820" max="13820" width="11.28515625" style="1" customWidth="1"/>
    <col min="13821" max="13822" width="9.140625" style="1" bestFit="1" customWidth="1"/>
    <col min="13823" max="13824" width="11.140625" style="1" bestFit="1" customWidth="1"/>
    <col min="13825" max="13825" width="11.5703125" style="1" bestFit="1" customWidth="1"/>
    <col min="13826" max="13826" width="9.140625" style="1" bestFit="1" customWidth="1"/>
    <col min="13827" max="13827" width="10.28515625" style="1" customWidth="1"/>
    <col min="13828" max="14066" width="9.140625" style="1"/>
    <col min="14067" max="14067" width="4.28515625" style="1" bestFit="1" customWidth="1"/>
    <col min="14068" max="14068" width="6.85546875" style="1" bestFit="1" customWidth="1"/>
    <col min="14069" max="14069" width="11" style="1" customWidth="1"/>
    <col min="14070" max="14070" width="11.140625" style="1" bestFit="1" customWidth="1"/>
    <col min="14071" max="14071" width="10.85546875" style="1" customWidth="1"/>
    <col min="14072" max="14072" width="11.5703125" style="1" customWidth="1"/>
    <col min="14073" max="14073" width="11.140625" style="1" bestFit="1" customWidth="1"/>
    <col min="14074" max="14074" width="11" style="1" customWidth="1"/>
    <col min="14075" max="14075" width="10.42578125" style="1" customWidth="1"/>
    <col min="14076" max="14076" width="11.28515625" style="1" customWidth="1"/>
    <col min="14077" max="14078" width="9.140625" style="1" bestFit="1" customWidth="1"/>
    <col min="14079" max="14080" width="11.140625" style="1" bestFit="1" customWidth="1"/>
    <col min="14081" max="14081" width="11.5703125" style="1" bestFit="1" customWidth="1"/>
    <col min="14082" max="14082" width="9.140625" style="1" bestFit="1" customWidth="1"/>
    <col min="14083" max="14083" width="10.28515625" style="1" customWidth="1"/>
    <col min="14084" max="14322" width="9.140625" style="1"/>
    <col min="14323" max="14323" width="4.28515625" style="1" bestFit="1" customWidth="1"/>
    <col min="14324" max="14324" width="6.85546875" style="1" bestFit="1" customWidth="1"/>
    <col min="14325" max="14325" width="11" style="1" customWidth="1"/>
    <col min="14326" max="14326" width="11.140625" style="1" bestFit="1" customWidth="1"/>
    <col min="14327" max="14327" width="10.85546875" style="1" customWidth="1"/>
    <col min="14328" max="14328" width="11.5703125" style="1" customWidth="1"/>
    <col min="14329" max="14329" width="11.140625" style="1" bestFit="1" customWidth="1"/>
    <col min="14330" max="14330" width="11" style="1" customWidth="1"/>
    <col min="14331" max="14331" width="10.42578125" style="1" customWidth="1"/>
    <col min="14332" max="14332" width="11.28515625" style="1" customWidth="1"/>
    <col min="14333" max="14334" width="9.140625" style="1" bestFit="1" customWidth="1"/>
    <col min="14335" max="14336" width="11.140625" style="1" bestFit="1" customWidth="1"/>
    <col min="14337" max="14337" width="11.5703125" style="1" bestFit="1" customWidth="1"/>
    <col min="14338" max="14338" width="9.140625" style="1" bestFit="1" customWidth="1"/>
    <col min="14339" max="14339" width="10.28515625" style="1" customWidth="1"/>
    <col min="14340" max="14578" width="9.140625" style="1"/>
    <col min="14579" max="14579" width="4.28515625" style="1" bestFit="1" customWidth="1"/>
    <col min="14580" max="14580" width="6.85546875" style="1" bestFit="1" customWidth="1"/>
    <col min="14581" max="14581" width="11" style="1" customWidth="1"/>
    <col min="14582" max="14582" width="11.140625" style="1" bestFit="1" customWidth="1"/>
    <col min="14583" max="14583" width="10.85546875" style="1" customWidth="1"/>
    <col min="14584" max="14584" width="11.5703125" style="1" customWidth="1"/>
    <col min="14585" max="14585" width="11.140625" style="1" bestFit="1" customWidth="1"/>
    <col min="14586" max="14586" width="11" style="1" customWidth="1"/>
    <col min="14587" max="14587" width="10.42578125" style="1" customWidth="1"/>
    <col min="14588" max="14588" width="11.28515625" style="1" customWidth="1"/>
    <col min="14589" max="14590" width="9.140625" style="1" bestFit="1" customWidth="1"/>
    <col min="14591" max="14592" width="11.140625" style="1" bestFit="1" customWidth="1"/>
    <col min="14593" max="14593" width="11.5703125" style="1" bestFit="1" customWidth="1"/>
    <col min="14594" max="14594" width="9.140625" style="1" bestFit="1" customWidth="1"/>
    <col min="14595" max="14595" width="10.28515625" style="1" customWidth="1"/>
    <col min="14596" max="14834" width="9.140625" style="1"/>
    <col min="14835" max="14835" width="4.28515625" style="1" bestFit="1" customWidth="1"/>
    <col min="14836" max="14836" width="6.85546875" style="1" bestFit="1" customWidth="1"/>
    <col min="14837" max="14837" width="11" style="1" customWidth="1"/>
    <col min="14838" max="14838" width="11.140625" style="1" bestFit="1" customWidth="1"/>
    <col min="14839" max="14839" width="10.85546875" style="1" customWidth="1"/>
    <col min="14840" max="14840" width="11.5703125" style="1" customWidth="1"/>
    <col min="14841" max="14841" width="11.140625" style="1" bestFit="1" customWidth="1"/>
    <col min="14842" max="14842" width="11" style="1" customWidth="1"/>
    <col min="14843" max="14843" width="10.42578125" style="1" customWidth="1"/>
    <col min="14844" max="14844" width="11.28515625" style="1" customWidth="1"/>
    <col min="14845" max="14846" width="9.140625" style="1" bestFit="1" customWidth="1"/>
    <col min="14847" max="14848" width="11.140625" style="1" bestFit="1" customWidth="1"/>
    <col min="14849" max="14849" width="11.5703125" style="1" bestFit="1" customWidth="1"/>
    <col min="14850" max="14850" width="9.140625" style="1" bestFit="1" customWidth="1"/>
    <col min="14851" max="14851" width="10.28515625" style="1" customWidth="1"/>
    <col min="14852" max="15090" width="9.140625" style="1"/>
    <col min="15091" max="15091" width="4.28515625" style="1" bestFit="1" customWidth="1"/>
    <col min="15092" max="15092" width="6.85546875" style="1" bestFit="1" customWidth="1"/>
    <col min="15093" max="15093" width="11" style="1" customWidth="1"/>
    <col min="15094" max="15094" width="11.140625" style="1" bestFit="1" customWidth="1"/>
    <col min="15095" max="15095" width="10.85546875" style="1" customWidth="1"/>
    <col min="15096" max="15096" width="11.5703125" style="1" customWidth="1"/>
    <col min="15097" max="15097" width="11.140625" style="1" bestFit="1" customWidth="1"/>
    <col min="15098" max="15098" width="11" style="1" customWidth="1"/>
    <col min="15099" max="15099" width="10.42578125" style="1" customWidth="1"/>
    <col min="15100" max="15100" width="11.28515625" style="1" customWidth="1"/>
    <col min="15101" max="15102" width="9.140625" style="1" bestFit="1" customWidth="1"/>
    <col min="15103" max="15104" width="11.140625" style="1" bestFit="1" customWidth="1"/>
    <col min="15105" max="15105" width="11.5703125" style="1" bestFit="1" customWidth="1"/>
    <col min="15106" max="15106" width="9.140625" style="1" bestFit="1" customWidth="1"/>
    <col min="15107" max="15107" width="10.28515625" style="1" customWidth="1"/>
    <col min="15108" max="15346" width="9.140625" style="1"/>
    <col min="15347" max="15347" width="4.28515625" style="1" bestFit="1" customWidth="1"/>
    <col min="15348" max="15348" width="6.85546875" style="1" bestFit="1" customWidth="1"/>
    <col min="15349" max="15349" width="11" style="1" customWidth="1"/>
    <col min="15350" max="15350" width="11.140625" style="1" bestFit="1" customWidth="1"/>
    <col min="15351" max="15351" width="10.85546875" style="1" customWidth="1"/>
    <col min="15352" max="15352" width="11.5703125" style="1" customWidth="1"/>
    <col min="15353" max="15353" width="11.140625" style="1" bestFit="1" customWidth="1"/>
    <col min="15354" max="15354" width="11" style="1" customWidth="1"/>
    <col min="15355" max="15355" width="10.42578125" style="1" customWidth="1"/>
    <col min="15356" max="15356" width="11.28515625" style="1" customWidth="1"/>
    <col min="15357" max="15358" width="9.140625" style="1" bestFit="1" customWidth="1"/>
    <col min="15359" max="15360" width="11.140625" style="1" bestFit="1" customWidth="1"/>
    <col min="15361" max="15361" width="11.5703125" style="1" bestFit="1" customWidth="1"/>
    <col min="15362" max="15362" width="9.140625" style="1" bestFit="1" customWidth="1"/>
    <col min="15363" max="15363" width="10.28515625" style="1" customWidth="1"/>
    <col min="15364" max="15602" width="9.140625" style="1"/>
    <col min="15603" max="15603" width="4.28515625" style="1" bestFit="1" customWidth="1"/>
    <col min="15604" max="15604" width="6.85546875" style="1" bestFit="1" customWidth="1"/>
    <col min="15605" max="15605" width="11" style="1" customWidth="1"/>
    <col min="15606" max="15606" width="11.140625" style="1" bestFit="1" customWidth="1"/>
    <col min="15607" max="15607" width="10.85546875" style="1" customWidth="1"/>
    <col min="15608" max="15608" width="11.5703125" style="1" customWidth="1"/>
    <col min="15609" max="15609" width="11.140625" style="1" bestFit="1" customWidth="1"/>
    <col min="15610" max="15610" width="11" style="1" customWidth="1"/>
    <col min="15611" max="15611" width="10.42578125" style="1" customWidth="1"/>
    <col min="15612" max="15612" width="11.28515625" style="1" customWidth="1"/>
    <col min="15613" max="15614" width="9.140625" style="1" bestFit="1" customWidth="1"/>
    <col min="15615" max="15616" width="11.140625" style="1" bestFit="1" customWidth="1"/>
    <col min="15617" max="15617" width="11.5703125" style="1" bestFit="1" customWidth="1"/>
    <col min="15618" max="15618" width="9.140625" style="1" bestFit="1" customWidth="1"/>
    <col min="15619" max="15619" width="10.28515625" style="1" customWidth="1"/>
    <col min="15620" max="15858" width="9.140625" style="1"/>
    <col min="15859" max="15859" width="4.28515625" style="1" bestFit="1" customWidth="1"/>
    <col min="15860" max="15860" width="6.85546875" style="1" bestFit="1" customWidth="1"/>
    <col min="15861" max="15861" width="11" style="1" customWidth="1"/>
    <col min="15862" max="15862" width="11.140625" style="1" bestFit="1" customWidth="1"/>
    <col min="15863" max="15863" width="10.85546875" style="1" customWidth="1"/>
    <col min="15864" max="15864" width="11.5703125" style="1" customWidth="1"/>
    <col min="15865" max="15865" width="11.140625" style="1" bestFit="1" customWidth="1"/>
    <col min="15866" max="15866" width="11" style="1" customWidth="1"/>
    <col min="15867" max="15867" width="10.42578125" style="1" customWidth="1"/>
    <col min="15868" max="15868" width="11.28515625" style="1" customWidth="1"/>
    <col min="15869" max="15870" width="9.140625" style="1" bestFit="1" customWidth="1"/>
    <col min="15871" max="15872" width="11.140625" style="1" bestFit="1" customWidth="1"/>
    <col min="15873" max="15873" width="11.5703125" style="1" bestFit="1" customWidth="1"/>
    <col min="15874" max="15874" width="9.140625" style="1" bestFit="1" customWidth="1"/>
    <col min="15875" max="15875" width="10.28515625" style="1" customWidth="1"/>
    <col min="15876" max="16114" width="9.140625" style="1"/>
    <col min="16115" max="16115" width="4.28515625" style="1" bestFit="1" customWidth="1"/>
    <col min="16116" max="16116" width="6.85546875" style="1" bestFit="1" customWidth="1"/>
    <col min="16117" max="16117" width="11" style="1" customWidth="1"/>
    <col min="16118" max="16118" width="11.140625" style="1" bestFit="1" customWidth="1"/>
    <col min="16119" max="16119" width="10.85546875" style="1" customWidth="1"/>
    <col min="16120" max="16120" width="11.5703125" style="1" customWidth="1"/>
    <col min="16121" max="16121" width="11.140625" style="1" bestFit="1" customWidth="1"/>
    <col min="16122" max="16122" width="11" style="1" customWidth="1"/>
    <col min="16123" max="16123" width="10.42578125" style="1" customWidth="1"/>
    <col min="16124" max="16124" width="11.28515625" style="1" customWidth="1"/>
    <col min="16125" max="16126" width="9.140625" style="1" bestFit="1" customWidth="1"/>
    <col min="16127" max="16128" width="11.140625" style="1" bestFit="1" customWidth="1"/>
    <col min="16129" max="16129" width="11.5703125" style="1" bestFit="1" customWidth="1"/>
    <col min="16130" max="16130" width="9.140625" style="1" bestFit="1" customWidth="1"/>
    <col min="16131" max="16131" width="10.28515625" style="1" customWidth="1"/>
    <col min="16132" max="16384" width="9.140625" style="1"/>
  </cols>
  <sheetData>
    <row r="1" spans="1:226" ht="54" customHeight="1">
      <c r="A1" s="830"/>
      <c r="B1" s="830"/>
      <c r="C1" s="830"/>
      <c r="D1" s="830"/>
      <c r="E1" s="830"/>
      <c r="F1" s="830"/>
      <c r="G1" s="830"/>
      <c r="H1" s="1518" t="s">
        <v>1083</v>
      </c>
      <c r="I1" s="1518"/>
      <c r="J1" s="1518"/>
    </row>
    <row r="2" spans="1:226" ht="64.5" customHeight="1">
      <c r="A2" s="1519" t="s">
        <v>960</v>
      </c>
      <c r="B2" s="1519"/>
      <c r="C2" s="1519"/>
      <c r="D2" s="1519"/>
      <c r="E2" s="1519"/>
      <c r="F2" s="1519"/>
      <c r="G2" s="1519"/>
      <c r="H2" s="1519"/>
      <c r="I2" s="1519"/>
      <c r="J2" s="1519"/>
    </row>
    <row r="3" spans="1:226" ht="15.75">
      <c r="A3" s="831"/>
      <c r="B3" s="831"/>
      <c r="C3" s="832"/>
      <c r="D3" s="833"/>
      <c r="E3" s="833"/>
      <c r="F3" s="831"/>
      <c r="G3" s="831"/>
      <c r="H3" s="831"/>
      <c r="I3" s="831"/>
      <c r="J3" s="831"/>
    </row>
    <row r="4" spans="1:226" ht="14.25" customHeight="1" thickBot="1">
      <c r="A4" s="1520" t="s">
        <v>24</v>
      </c>
      <c r="B4" s="1520"/>
      <c r="C4" s="1520"/>
      <c r="D4" s="1520"/>
      <c r="E4" s="1520"/>
      <c r="F4" s="1520"/>
      <c r="G4" s="1520"/>
      <c r="H4" s="1520"/>
      <c r="I4" s="1520"/>
      <c r="J4" s="1520"/>
    </row>
    <row r="5" spans="1:226" ht="17.25" customHeight="1">
      <c r="A5" s="1521" t="s">
        <v>18</v>
      </c>
      <c r="B5" s="1523" t="s">
        <v>961</v>
      </c>
      <c r="C5" s="1525" t="s">
        <v>0</v>
      </c>
      <c r="D5" s="1526" t="s">
        <v>1</v>
      </c>
      <c r="E5" s="1528" t="s">
        <v>5</v>
      </c>
      <c r="F5" s="1529" t="s">
        <v>962</v>
      </c>
      <c r="G5" s="1531" t="s">
        <v>2</v>
      </c>
      <c r="H5" s="1531"/>
      <c r="I5" s="1531"/>
      <c r="J5" s="1532"/>
    </row>
    <row r="6" spans="1:226" ht="38.25" customHeight="1">
      <c r="A6" s="1522"/>
      <c r="B6" s="1524"/>
      <c r="C6" s="1524"/>
      <c r="D6" s="1527"/>
      <c r="E6" s="1527"/>
      <c r="F6" s="1530"/>
      <c r="G6" s="834" t="s">
        <v>963</v>
      </c>
      <c r="H6" s="834" t="s">
        <v>964</v>
      </c>
      <c r="I6" s="834" t="s">
        <v>965</v>
      </c>
      <c r="J6" s="835" t="s">
        <v>966</v>
      </c>
    </row>
    <row r="7" spans="1:226" s="840" customFormat="1" ht="9.9499999999999993" customHeight="1" thickBot="1">
      <c r="A7" s="836" t="s">
        <v>137</v>
      </c>
      <c r="B7" s="837" t="s">
        <v>138</v>
      </c>
      <c r="C7" s="837" t="s">
        <v>139</v>
      </c>
      <c r="D7" s="837" t="s">
        <v>140</v>
      </c>
      <c r="E7" s="837" t="s">
        <v>141</v>
      </c>
      <c r="F7" s="838" t="s">
        <v>967</v>
      </c>
      <c r="G7" s="838" t="s">
        <v>968</v>
      </c>
      <c r="H7" s="838" t="s">
        <v>969</v>
      </c>
      <c r="I7" s="838" t="s">
        <v>970</v>
      </c>
      <c r="J7" s="839" t="s">
        <v>971</v>
      </c>
    </row>
    <row r="8" spans="1:226" s="845" customFormat="1" ht="24.95" customHeight="1" thickBot="1">
      <c r="A8" s="841" t="s">
        <v>972</v>
      </c>
      <c r="B8" s="1496" t="s">
        <v>973</v>
      </c>
      <c r="C8" s="1496"/>
      <c r="D8" s="1496"/>
      <c r="E8" s="1496"/>
      <c r="F8" s="842">
        <f>F10+F22</f>
        <v>22937912</v>
      </c>
      <c r="G8" s="842">
        <f t="shared" ref="G8:J8" si="0">G10+G22</f>
        <v>2500000</v>
      </c>
      <c r="H8" s="842">
        <f t="shared" si="0"/>
        <v>0</v>
      </c>
      <c r="I8" s="842">
        <f t="shared" si="0"/>
        <v>20437912</v>
      </c>
      <c r="J8" s="843">
        <f t="shared" si="0"/>
        <v>0</v>
      </c>
      <c r="K8" s="844"/>
    </row>
    <row r="9" spans="1:226" s="840" customFormat="1">
      <c r="A9" s="1513"/>
      <c r="B9" s="1514"/>
      <c r="C9" s="1514"/>
      <c r="D9" s="1514"/>
      <c r="E9" s="1514"/>
      <c r="F9" s="1514"/>
      <c r="G9" s="1514"/>
      <c r="H9" s="1514"/>
      <c r="I9" s="1514"/>
      <c r="J9" s="1515"/>
    </row>
    <row r="10" spans="1:226" s="850" customFormat="1" ht="24.95" customHeight="1">
      <c r="A10" s="1500" t="s">
        <v>974</v>
      </c>
      <c r="B10" s="1501" t="s">
        <v>975</v>
      </c>
      <c r="C10" s="1495"/>
      <c r="D10" s="1495"/>
      <c r="E10" s="846" t="s">
        <v>976</v>
      </c>
      <c r="F10" s="847">
        <f>SUM(F11,F14)</f>
        <v>20437912</v>
      </c>
      <c r="G10" s="847">
        <f>SUM(G11,G14)</f>
        <v>0</v>
      </c>
      <c r="H10" s="847">
        <f>SUM(H11,H14)</f>
        <v>0</v>
      </c>
      <c r="I10" s="847">
        <f>SUM(I11,I14)</f>
        <v>20437912</v>
      </c>
      <c r="J10" s="848">
        <f>SUM(J11,J14)</f>
        <v>0</v>
      </c>
      <c r="K10" s="849"/>
      <c r="L10" s="849"/>
      <c r="M10" s="849"/>
      <c r="N10" s="849"/>
      <c r="O10" s="849"/>
      <c r="P10" s="849"/>
      <c r="Q10" s="849"/>
      <c r="R10" s="849"/>
      <c r="S10" s="849"/>
      <c r="T10" s="849"/>
      <c r="U10" s="849"/>
      <c r="V10" s="849"/>
      <c r="W10" s="849"/>
      <c r="X10" s="849"/>
      <c r="Y10" s="849"/>
      <c r="Z10" s="849"/>
      <c r="AA10" s="849"/>
      <c r="AB10" s="849"/>
      <c r="AC10" s="849"/>
      <c r="AD10" s="849"/>
      <c r="AE10" s="849"/>
      <c r="AF10" s="849"/>
      <c r="AG10" s="849"/>
      <c r="AH10" s="849"/>
      <c r="AI10" s="849"/>
      <c r="AJ10" s="849"/>
      <c r="AK10" s="849"/>
      <c r="AL10" s="849"/>
      <c r="AM10" s="849"/>
      <c r="AN10" s="849"/>
      <c r="AO10" s="849"/>
      <c r="AP10" s="849"/>
      <c r="AQ10" s="849"/>
      <c r="AR10" s="849"/>
      <c r="AS10" s="849"/>
      <c r="AT10" s="849"/>
      <c r="AU10" s="849"/>
      <c r="AV10" s="849"/>
      <c r="AW10" s="849"/>
      <c r="AX10" s="849"/>
      <c r="AY10" s="849"/>
      <c r="AZ10" s="849"/>
      <c r="BA10" s="849"/>
      <c r="BB10" s="849"/>
      <c r="BC10" s="849"/>
      <c r="BD10" s="849"/>
      <c r="BE10" s="849"/>
      <c r="BF10" s="849"/>
      <c r="BG10" s="849"/>
      <c r="BH10" s="849"/>
      <c r="BI10" s="849"/>
      <c r="BJ10" s="849"/>
      <c r="BK10" s="849"/>
      <c r="BL10" s="849"/>
      <c r="BM10" s="849"/>
      <c r="BN10" s="849"/>
      <c r="BO10" s="849"/>
      <c r="BP10" s="849"/>
      <c r="BQ10" s="849"/>
      <c r="BR10" s="849"/>
      <c r="BS10" s="849"/>
      <c r="BT10" s="849"/>
      <c r="BU10" s="849"/>
      <c r="BV10" s="849"/>
      <c r="BW10" s="849"/>
      <c r="BX10" s="849"/>
      <c r="BY10" s="849"/>
      <c r="BZ10" s="849"/>
      <c r="CA10" s="849"/>
      <c r="CB10" s="849"/>
      <c r="CC10" s="849"/>
      <c r="CD10" s="849"/>
      <c r="CE10" s="849"/>
      <c r="CF10" s="849"/>
      <c r="CG10" s="849"/>
      <c r="CH10" s="849"/>
      <c r="CI10" s="849"/>
      <c r="CJ10" s="849"/>
      <c r="CK10" s="849"/>
      <c r="CL10" s="849"/>
      <c r="CM10" s="849"/>
      <c r="CN10" s="849"/>
      <c r="CO10" s="849"/>
      <c r="CP10" s="849"/>
      <c r="CQ10" s="849"/>
      <c r="CR10" s="849"/>
      <c r="CS10" s="849"/>
      <c r="CT10" s="849"/>
      <c r="CU10" s="849"/>
      <c r="CV10" s="849"/>
      <c r="CW10" s="849"/>
      <c r="CX10" s="849"/>
      <c r="CY10" s="849"/>
      <c r="CZ10" s="849"/>
      <c r="DA10" s="849"/>
      <c r="DB10" s="849"/>
      <c r="DC10" s="849"/>
      <c r="DD10" s="849"/>
      <c r="DE10" s="849"/>
      <c r="DF10" s="849"/>
      <c r="DG10" s="849"/>
      <c r="DH10" s="849"/>
      <c r="DI10" s="849"/>
      <c r="DJ10" s="849"/>
      <c r="DK10" s="849"/>
      <c r="DL10" s="849"/>
      <c r="DM10" s="849"/>
      <c r="DN10" s="849"/>
      <c r="DO10" s="849"/>
      <c r="DP10" s="849"/>
      <c r="DQ10" s="849"/>
      <c r="DR10" s="849"/>
      <c r="DS10" s="849"/>
      <c r="DT10" s="849"/>
      <c r="DU10" s="849"/>
      <c r="DV10" s="849"/>
      <c r="DW10" s="849"/>
      <c r="DX10" s="849"/>
      <c r="DY10" s="849"/>
      <c r="DZ10" s="849"/>
      <c r="EA10" s="849"/>
      <c r="EB10" s="849"/>
      <c r="EC10" s="849"/>
      <c r="ED10" s="849"/>
      <c r="EE10" s="849"/>
      <c r="EF10" s="849"/>
      <c r="EG10" s="849"/>
      <c r="EH10" s="849"/>
      <c r="EI10" s="849"/>
      <c r="EJ10" s="849"/>
      <c r="EK10" s="849"/>
      <c r="EL10" s="849"/>
      <c r="EM10" s="849"/>
      <c r="EN10" s="849"/>
      <c r="EO10" s="849"/>
      <c r="EP10" s="849"/>
      <c r="EQ10" s="849"/>
      <c r="ER10" s="849"/>
      <c r="ES10" s="849"/>
      <c r="ET10" s="849"/>
      <c r="EU10" s="849"/>
      <c r="EV10" s="849"/>
      <c r="EW10" s="849"/>
      <c r="EX10" s="849"/>
      <c r="EY10" s="849"/>
      <c r="EZ10" s="849"/>
      <c r="FA10" s="849"/>
      <c r="FB10" s="849"/>
      <c r="FC10" s="849"/>
      <c r="FD10" s="849"/>
      <c r="FE10" s="849"/>
      <c r="FF10" s="849"/>
      <c r="FG10" s="849"/>
      <c r="FH10" s="849"/>
      <c r="FI10" s="849"/>
      <c r="FJ10" s="849"/>
      <c r="FK10" s="849"/>
      <c r="FL10" s="849"/>
      <c r="FM10" s="849"/>
      <c r="FN10" s="849"/>
      <c r="FO10" s="849"/>
      <c r="FP10" s="849"/>
      <c r="FQ10" s="849"/>
      <c r="FR10" s="849"/>
      <c r="FS10" s="849"/>
      <c r="FT10" s="849"/>
      <c r="FU10" s="849"/>
      <c r="FV10" s="849"/>
      <c r="FW10" s="849"/>
      <c r="FX10" s="849"/>
      <c r="FY10" s="849"/>
      <c r="FZ10" s="849"/>
      <c r="GA10" s="849"/>
      <c r="GB10" s="849"/>
      <c r="GC10" s="849"/>
      <c r="GD10" s="849"/>
      <c r="GE10" s="849"/>
      <c r="GF10" s="849"/>
      <c r="GG10" s="849"/>
      <c r="GH10" s="849"/>
      <c r="GI10" s="849"/>
      <c r="GJ10" s="849"/>
      <c r="GK10" s="849"/>
      <c r="GL10" s="849"/>
      <c r="GM10" s="849"/>
      <c r="GN10" s="849"/>
      <c r="GO10" s="849"/>
      <c r="GP10" s="849"/>
      <c r="GQ10" s="849"/>
      <c r="GR10" s="849"/>
      <c r="GS10" s="849"/>
      <c r="GT10" s="849"/>
      <c r="GU10" s="849"/>
      <c r="GV10" s="849"/>
      <c r="GW10" s="849"/>
      <c r="GX10" s="849"/>
      <c r="GY10" s="849"/>
      <c r="GZ10" s="849"/>
      <c r="HA10" s="849"/>
      <c r="HB10" s="849"/>
      <c r="HC10" s="849"/>
      <c r="HD10" s="849"/>
      <c r="HE10" s="849"/>
      <c r="HF10" s="849"/>
      <c r="HG10" s="849"/>
      <c r="HH10" s="849"/>
      <c r="HI10" s="849"/>
      <c r="HJ10" s="849"/>
      <c r="HK10" s="849"/>
      <c r="HL10" s="849"/>
      <c r="HM10" s="849"/>
      <c r="HN10" s="849"/>
      <c r="HO10" s="849"/>
      <c r="HP10" s="849"/>
      <c r="HQ10" s="849"/>
      <c r="HR10" s="849"/>
    </row>
    <row r="11" spans="1:226" s="850" customFormat="1" ht="24.95" customHeight="1">
      <c r="A11" s="1500"/>
      <c r="B11" s="1501"/>
      <c r="C11" s="1495"/>
      <c r="D11" s="1495"/>
      <c r="E11" s="851" t="s">
        <v>383</v>
      </c>
      <c r="F11" s="852">
        <f>SUM(F12:F13)</f>
        <v>876000</v>
      </c>
      <c r="G11" s="852">
        <f>SUM(G12:G13)</f>
        <v>0</v>
      </c>
      <c r="H11" s="852">
        <f>SUM(H12:H13)</f>
        <v>0</v>
      </c>
      <c r="I11" s="852">
        <f>SUM(I12:I13)</f>
        <v>876000</v>
      </c>
      <c r="J11" s="853">
        <f>SUM(J12:J13)</f>
        <v>0</v>
      </c>
      <c r="K11" s="849"/>
    </row>
    <row r="12" spans="1:226" s="850" customFormat="1" ht="15" customHeight="1">
      <c r="A12" s="1500"/>
      <c r="B12" s="1501"/>
      <c r="C12" s="854">
        <v>150</v>
      </c>
      <c r="D12" s="855" t="s">
        <v>277</v>
      </c>
      <c r="E12" s="855" t="s">
        <v>279</v>
      </c>
      <c r="F12" s="856">
        <f>SUM(G12:J12)</f>
        <v>876000</v>
      </c>
      <c r="G12" s="856"/>
      <c r="H12" s="856"/>
      <c r="I12" s="856">
        <v>876000</v>
      </c>
      <c r="J12" s="857"/>
      <c r="K12" s="849"/>
    </row>
    <row r="13" spans="1:226" s="850" customFormat="1" ht="15" hidden="1" customHeight="1">
      <c r="A13" s="1500"/>
      <c r="B13" s="1501"/>
      <c r="C13" s="854">
        <v>801</v>
      </c>
      <c r="D13" s="855" t="s">
        <v>508</v>
      </c>
      <c r="E13" s="855" t="s">
        <v>279</v>
      </c>
      <c r="F13" s="856">
        <f>SUM(G13:J13)</f>
        <v>0</v>
      </c>
      <c r="G13" s="856"/>
      <c r="H13" s="856"/>
      <c r="I13" s="856"/>
      <c r="J13" s="857"/>
      <c r="K13" s="849"/>
    </row>
    <row r="14" spans="1:226" s="850" customFormat="1" ht="24.95" customHeight="1">
      <c r="A14" s="1500"/>
      <c r="B14" s="1501"/>
      <c r="C14" s="1495"/>
      <c r="D14" s="1495"/>
      <c r="E14" s="858" t="s">
        <v>977</v>
      </c>
      <c r="F14" s="852">
        <f>SUM(F15:F21)</f>
        <v>19561912</v>
      </c>
      <c r="G14" s="852">
        <f>SUM(G15:G21)</f>
        <v>0</v>
      </c>
      <c r="H14" s="852">
        <f>SUM(H15:H21)</f>
        <v>0</v>
      </c>
      <c r="I14" s="852">
        <f>SUM(I15:I21)</f>
        <v>19561912</v>
      </c>
      <c r="J14" s="853">
        <f>SUM(J15:J21)</f>
        <v>0</v>
      </c>
      <c r="K14" s="849"/>
    </row>
    <row r="15" spans="1:226" s="850" customFormat="1" ht="15" customHeight="1">
      <c r="A15" s="1500"/>
      <c r="B15" s="1501"/>
      <c r="C15" s="854">
        <v>150</v>
      </c>
      <c r="D15" s="859" t="s">
        <v>277</v>
      </c>
      <c r="E15" s="855" t="s">
        <v>284</v>
      </c>
      <c r="F15" s="856">
        <f t="shared" ref="F15:F21" si="1">SUM(G15:J15)</f>
        <v>13162169</v>
      </c>
      <c r="G15" s="856"/>
      <c r="H15" s="856"/>
      <c r="I15" s="856">
        <v>13162169</v>
      </c>
      <c r="J15" s="857"/>
      <c r="K15" s="849"/>
    </row>
    <row r="16" spans="1:226" s="850" customFormat="1" ht="15" customHeight="1">
      <c r="A16" s="1500"/>
      <c r="B16" s="1501"/>
      <c r="C16" s="854">
        <v>400</v>
      </c>
      <c r="D16" s="855" t="s">
        <v>290</v>
      </c>
      <c r="E16" s="855" t="s">
        <v>284</v>
      </c>
      <c r="F16" s="856">
        <f t="shared" si="1"/>
        <v>647583</v>
      </c>
      <c r="G16" s="856"/>
      <c r="H16" s="856"/>
      <c r="I16" s="856">
        <v>647583</v>
      </c>
      <c r="J16" s="857"/>
      <c r="K16" s="849"/>
    </row>
    <row r="17" spans="1:11" s="850" customFormat="1" ht="15" customHeight="1">
      <c r="A17" s="1500"/>
      <c r="B17" s="1501"/>
      <c r="C17" s="1516">
        <v>600</v>
      </c>
      <c r="D17" s="855" t="s">
        <v>322</v>
      </c>
      <c r="E17" s="855" t="s">
        <v>284</v>
      </c>
      <c r="F17" s="856">
        <f t="shared" si="1"/>
        <v>1076180</v>
      </c>
      <c r="G17" s="856"/>
      <c r="H17" s="856"/>
      <c r="I17" s="856">
        <v>1076180</v>
      </c>
      <c r="J17" s="857"/>
      <c r="K17" s="849"/>
    </row>
    <row r="18" spans="1:11" s="850" customFormat="1" ht="15" customHeight="1">
      <c r="A18" s="1500"/>
      <c r="B18" s="1501"/>
      <c r="C18" s="1517"/>
      <c r="D18" s="855" t="s">
        <v>324</v>
      </c>
      <c r="E18" s="855" t="s">
        <v>284</v>
      </c>
      <c r="F18" s="856">
        <f t="shared" si="1"/>
        <v>1720435</v>
      </c>
      <c r="G18" s="856"/>
      <c r="H18" s="856"/>
      <c r="I18" s="856">
        <v>1720435</v>
      </c>
      <c r="J18" s="857"/>
      <c r="K18" s="849"/>
    </row>
    <row r="19" spans="1:11" s="850" customFormat="1" ht="15" customHeight="1">
      <c r="A19" s="1500"/>
      <c r="B19" s="1501"/>
      <c r="C19" s="854">
        <v>803</v>
      </c>
      <c r="D19" s="855" t="s">
        <v>545</v>
      </c>
      <c r="E19" s="855" t="s">
        <v>284</v>
      </c>
      <c r="F19" s="856">
        <f t="shared" si="1"/>
        <v>1233953</v>
      </c>
      <c r="G19" s="856"/>
      <c r="H19" s="856"/>
      <c r="I19" s="856">
        <v>1233953</v>
      </c>
      <c r="J19" s="857"/>
      <c r="K19" s="849"/>
    </row>
    <row r="20" spans="1:11" s="850" customFormat="1" ht="15" customHeight="1">
      <c r="A20" s="1500"/>
      <c r="B20" s="1501"/>
      <c r="C20" s="854">
        <v>851</v>
      </c>
      <c r="D20" s="855" t="s">
        <v>554</v>
      </c>
      <c r="E20" s="855" t="s">
        <v>978</v>
      </c>
      <c r="F20" s="856">
        <f t="shared" si="1"/>
        <v>51016</v>
      </c>
      <c r="G20" s="856"/>
      <c r="H20" s="856"/>
      <c r="I20" s="856">
        <v>51016</v>
      </c>
      <c r="J20" s="857"/>
      <c r="K20" s="849"/>
    </row>
    <row r="21" spans="1:11" s="850" customFormat="1" ht="15" customHeight="1">
      <c r="A21" s="1500"/>
      <c r="B21" s="1501"/>
      <c r="C21" s="854">
        <v>921</v>
      </c>
      <c r="D21" s="855" t="s">
        <v>128</v>
      </c>
      <c r="E21" s="855" t="s">
        <v>284</v>
      </c>
      <c r="F21" s="856">
        <f t="shared" si="1"/>
        <v>1670576</v>
      </c>
      <c r="G21" s="856"/>
      <c r="H21" s="856"/>
      <c r="I21" s="856">
        <v>1670576</v>
      </c>
      <c r="J21" s="857"/>
      <c r="K21" s="849"/>
    </row>
    <row r="22" spans="1:11" s="850" customFormat="1" ht="24.95" customHeight="1">
      <c r="A22" s="1500" t="s">
        <v>979</v>
      </c>
      <c r="B22" s="1501" t="s">
        <v>980</v>
      </c>
      <c r="C22" s="1495">
        <v>750</v>
      </c>
      <c r="D22" s="1502" t="s">
        <v>453</v>
      </c>
      <c r="E22" s="846" t="s">
        <v>976</v>
      </c>
      <c r="F22" s="847">
        <f>SUM(F23,F30)</f>
        <v>2500000</v>
      </c>
      <c r="G22" s="847">
        <f>SUM(G23,G30)</f>
        <v>2500000</v>
      </c>
      <c r="H22" s="847">
        <f>SUM(H23,H30)</f>
        <v>0</v>
      </c>
      <c r="I22" s="847">
        <f>SUM(I23,I30)</f>
        <v>0</v>
      </c>
      <c r="J22" s="848">
        <f>SUM(J23,J30)</f>
        <v>0</v>
      </c>
      <c r="K22" s="849"/>
    </row>
    <row r="23" spans="1:11" s="850" customFormat="1" ht="24.95" customHeight="1">
      <c r="A23" s="1500"/>
      <c r="B23" s="1501"/>
      <c r="C23" s="1495"/>
      <c r="D23" s="1502"/>
      <c r="E23" s="851" t="s">
        <v>383</v>
      </c>
      <c r="F23" s="852">
        <f>SUM(F24,F27)</f>
        <v>0</v>
      </c>
      <c r="G23" s="852">
        <f>SUM(G24,G27)</f>
        <v>0</v>
      </c>
      <c r="H23" s="852">
        <f>SUM(H24,H27)</f>
        <v>0</v>
      </c>
      <c r="I23" s="852">
        <f>SUM(I24,I27)</f>
        <v>0</v>
      </c>
      <c r="J23" s="853">
        <f>SUM(J24,J27)</f>
        <v>0</v>
      </c>
      <c r="K23" s="849"/>
    </row>
    <row r="24" spans="1:11" s="850" customFormat="1" ht="24.95" hidden="1" customHeight="1">
      <c r="A24" s="1500"/>
      <c r="B24" s="1501"/>
      <c r="C24" s="1495"/>
      <c r="D24" s="1502"/>
      <c r="E24" s="860" t="s">
        <v>981</v>
      </c>
      <c r="F24" s="861">
        <f>SUM(F25:F26)</f>
        <v>0</v>
      </c>
      <c r="G24" s="861">
        <f>SUM(G25:G26)</f>
        <v>0</v>
      </c>
      <c r="H24" s="861">
        <f>SUM(H25:H26)</f>
        <v>0</v>
      </c>
      <c r="I24" s="861">
        <f>SUM(I25:I26)</f>
        <v>0</v>
      </c>
      <c r="J24" s="862">
        <f>SUM(J25:J26)</f>
        <v>0</v>
      </c>
      <c r="K24" s="849"/>
    </row>
    <row r="25" spans="1:11" s="850" customFormat="1" ht="24.95" hidden="1" customHeight="1">
      <c r="A25" s="1500"/>
      <c r="B25" s="1501"/>
      <c r="C25" s="1495"/>
      <c r="D25" s="1502"/>
      <c r="E25" s="855"/>
      <c r="F25" s="856">
        <f>SUM(G25:J25)</f>
        <v>0</v>
      </c>
      <c r="G25" s="856"/>
      <c r="H25" s="856"/>
      <c r="I25" s="856"/>
      <c r="J25" s="857"/>
      <c r="K25" s="849"/>
    </row>
    <row r="26" spans="1:11" s="850" customFormat="1" ht="24.95" hidden="1" customHeight="1">
      <c r="A26" s="1500"/>
      <c r="B26" s="1501"/>
      <c r="C26" s="1495"/>
      <c r="D26" s="1502"/>
      <c r="E26" s="855"/>
      <c r="F26" s="856">
        <f>SUM(G26:J26)</f>
        <v>0</v>
      </c>
      <c r="G26" s="856"/>
      <c r="H26" s="856"/>
      <c r="I26" s="856"/>
      <c r="J26" s="857"/>
      <c r="K26" s="849"/>
    </row>
    <row r="27" spans="1:11" s="850" customFormat="1" ht="24.95" hidden="1" customHeight="1">
      <c r="A27" s="1500"/>
      <c r="B27" s="1501"/>
      <c r="C27" s="1495"/>
      <c r="D27" s="1502"/>
      <c r="E27" s="860" t="s">
        <v>982</v>
      </c>
      <c r="F27" s="861">
        <f>SUM(F28:F29)</f>
        <v>0</v>
      </c>
      <c r="G27" s="861">
        <f>SUM(G28:G29)</f>
        <v>0</v>
      </c>
      <c r="H27" s="861">
        <f>SUM(H28:H29)</f>
        <v>0</v>
      </c>
      <c r="I27" s="861">
        <f>SUM(I28:I29)</f>
        <v>0</v>
      </c>
      <c r="J27" s="862">
        <f>SUM(J28:J29)</f>
        <v>0</v>
      </c>
      <c r="K27" s="849"/>
    </row>
    <row r="28" spans="1:11" s="850" customFormat="1" ht="24.95" hidden="1" customHeight="1">
      <c r="A28" s="1500"/>
      <c r="B28" s="1501"/>
      <c r="C28" s="1495"/>
      <c r="D28" s="1502"/>
      <c r="E28" s="855"/>
      <c r="F28" s="856">
        <f>SUM(G28:J28)</f>
        <v>0</v>
      </c>
      <c r="G28" s="856"/>
      <c r="H28" s="856"/>
      <c r="I28" s="856"/>
      <c r="J28" s="857"/>
      <c r="K28" s="849"/>
    </row>
    <row r="29" spans="1:11" s="850" customFormat="1" ht="24.95" hidden="1" customHeight="1">
      <c r="A29" s="1500"/>
      <c r="B29" s="1501"/>
      <c r="C29" s="1495"/>
      <c r="D29" s="1502"/>
      <c r="E29" s="855"/>
      <c r="F29" s="856">
        <f>SUM(G29:J29)</f>
        <v>0</v>
      </c>
      <c r="G29" s="856"/>
      <c r="H29" s="856"/>
      <c r="I29" s="856"/>
      <c r="J29" s="857"/>
      <c r="K29" s="849"/>
    </row>
    <row r="30" spans="1:11" s="850" customFormat="1" ht="24.95" customHeight="1">
      <c r="A30" s="1500"/>
      <c r="B30" s="1501"/>
      <c r="C30" s="1495"/>
      <c r="D30" s="1502"/>
      <c r="E30" s="858" t="s">
        <v>977</v>
      </c>
      <c r="F30" s="852">
        <f>SUM(F31:F32)</f>
        <v>2500000</v>
      </c>
      <c r="G30" s="852">
        <f>SUM(G31:G32)</f>
        <v>2500000</v>
      </c>
      <c r="H30" s="852">
        <f>SUM(H31:H32)</f>
        <v>0</v>
      </c>
      <c r="I30" s="852">
        <f>SUM(I31:I32)</f>
        <v>0</v>
      </c>
      <c r="J30" s="853">
        <f>SUM(J31:J32)</f>
        <v>0</v>
      </c>
      <c r="K30" s="849"/>
    </row>
    <row r="31" spans="1:11" s="850" customFormat="1" ht="15" hidden="1" customHeight="1">
      <c r="A31" s="1500"/>
      <c r="B31" s="1501"/>
      <c r="C31" s="1495"/>
      <c r="D31" s="1502"/>
      <c r="E31" s="855" t="s">
        <v>316</v>
      </c>
      <c r="F31" s="856">
        <f>SUM(G31:J31)</f>
        <v>0</v>
      </c>
      <c r="G31" s="856"/>
      <c r="H31" s="856"/>
      <c r="I31" s="856"/>
      <c r="J31" s="857"/>
      <c r="K31" s="849"/>
    </row>
    <row r="32" spans="1:11" s="850" customFormat="1" ht="15" customHeight="1" thickBot="1">
      <c r="A32" s="1500"/>
      <c r="B32" s="1501"/>
      <c r="C32" s="1495"/>
      <c r="D32" s="1502"/>
      <c r="E32" s="855" t="s">
        <v>253</v>
      </c>
      <c r="F32" s="856">
        <f>SUM(G32:J32)</f>
        <v>2500000</v>
      </c>
      <c r="G32" s="856">
        <v>2500000</v>
      </c>
      <c r="H32" s="856"/>
      <c r="I32" s="856"/>
      <c r="J32" s="857"/>
      <c r="K32" s="849"/>
    </row>
    <row r="33" spans="1:11" s="850" customFormat="1" ht="24.95" customHeight="1" thickBot="1">
      <c r="A33" s="841" t="s">
        <v>983</v>
      </c>
      <c r="B33" s="1496" t="s">
        <v>984</v>
      </c>
      <c r="C33" s="1496"/>
      <c r="D33" s="1496"/>
      <c r="E33" s="1496"/>
      <c r="F33" s="863">
        <f>F35</f>
        <v>8490</v>
      </c>
      <c r="G33" s="863">
        <f t="shared" ref="G33:J33" si="2">G35</f>
        <v>0</v>
      </c>
      <c r="H33" s="863">
        <f t="shared" si="2"/>
        <v>0</v>
      </c>
      <c r="I33" s="863">
        <f t="shared" si="2"/>
        <v>8490</v>
      </c>
      <c r="J33" s="864">
        <f t="shared" si="2"/>
        <v>0</v>
      </c>
      <c r="K33" s="849"/>
    </row>
    <row r="34" spans="1:11" s="850" customFormat="1">
      <c r="A34" s="1497"/>
      <c r="B34" s="1498"/>
      <c r="C34" s="1498"/>
      <c r="D34" s="1498"/>
      <c r="E34" s="1498"/>
      <c r="F34" s="1498"/>
      <c r="G34" s="1498"/>
      <c r="H34" s="1498"/>
      <c r="I34" s="1498"/>
      <c r="J34" s="1499"/>
      <c r="K34" s="849"/>
    </row>
    <row r="35" spans="1:11" s="850" customFormat="1" ht="24.95" customHeight="1">
      <c r="A35" s="1503" t="s">
        <v>974</v>
      </c>
      <c r="B35" s="1506" t="s">
        <v>985</v>
      </c>
      <c r="C35" s="1509"/>
      <c r="D35" s="1510"/>
      <c r="E35" s="846" t="s">
        <v>976</v>
      </c>
      <c r="F35" s="847">
        <f>SUM(F36,F53)</f>
        <v>8490</v>
      </c>
      <c r="G35" s="847">
        <f>SUM(G36,G53)</f>
        <v>0</v>
      </c>
      <c r="H35" s="847">
        <f>SUM(H36,H53)</f>
        <v>0</v>
      </c>
      <c r="I35" s="847">
        <f>SUM(I36,I53)</f>
        <v>8490</v>
      </c>
      <c r="J35" s="848">
        <f>SUM(J36,J53)</f>
        <v>0</v>
      </c>
      <c r="K35" s="849"/>
    </row>
    <row r="36" spans="1:11" s="850" customFormat="1" ht="21" customHeight="1">
      <c r="A36" s="1504"/>
      <c r="B36" s="1507"/>
      <c r="C36" s="1511"/>
      <c r="D36" s="1512"/>
      <c r="E36" s="851" t="s">
        <v>383</v>
      </c>
      <c r="F36" s="852">
        <f>SUM(F37:F52)</f>
        <v>8490</v>
      </c>
      <c r="G36" s="852">
        <f>SUM(G37:G52)</f>
        <v>0</v>
      </c>
      <c r="H36" s="852">
        <f>SUM(H37:H52)</f>
        <v>0</v>
      </c>
      <c r="I36" s="852">
        <f>SUM(I37:I52)</f>
        <v>8490</v>
      </c>
      <c r="J36" s="853">
        <f>SUM(J37:J52)</f>
        <v>0</v>
      </c>
      <c r="K36" s="849"/>
    </row>
    <row r="37" spans="1:11" s="850" customFormat="1" ht="15" customHeight="1">
      <c r="A37" s="1504"/>
      <c r="B37" s="1507"/>
      <c r="C37" s="1495">
        <v>150</v>
      </c>
      <c r="D37" s="1502" t="s">
        <v>277</v>
      </c>
      <c r="E37" s="855" t="s">
        <v>279</v>
      </c>
      <c r="F37" s="856">
        <f t="shared" ref="F37:F52" si="3">SUM(G37:J37)</f>
        <v>8490</v>
      </c>
      <c r="G37" s="856"/>
      <c r="H37" s="856"/>
      <c r="I37" s="856">
        <v>8490</v>
      </c>
      <c r="J37" s="857"/>
      <c r="K37" s="849"/>
    </row>
    <row r="38" spans="1:11" s="850" customFormat="1" ht="15" hidden="1" customHeight="1">
      <c r="A38" s="1504"/>
      <c r="B38" s="1507"/>
      <c r="C38" s="1495"/>
      <c r="D38" s="1502"/>
      <c r="E38" s="855" t="s">
        <v>986</v>
      </c>
      <c r="F38" s="856">
        <f t="shared" si="3"/>
        <v>0</v>
      </c>
      <c r="G38" s="856"/>
      <c r="H38" s="856"/>
      <c r="I38" s="856"/>
      <c r="J38" s="857"/>
      <c r="K38" s="849"/>
    </row>
    <row r="39" spans="1:11" s="850" customFormat="1" ht="15" hidden="1" customHeight="1">
      <c r="A39" s="1504"/>
      <c r="B39" s="1507"/>
      <c r="C39" s="1495"/>
      <c r="D39" s="1502" t="s">
        <v>286</v>
      </c>
      <c r="E39" s="855" t="s">
        <v>279</v>
      </c>
      <c r="F39" s="856">
        <f t="shared" si="3"/>
        <v>0</v>
      </c>
      <c r="G39" s="856"/>
      <c r="H39" s="856"/>
      <c r="I39" s="856"/>
      <c r="J39" s="857"/>
      <c r="K39" s="849"/>
    </row>
    <row r="40" spans="1:11" s="850" customFormat="1" ht="15" hidden="1" customHeight="1">
      <c r="A40" s="1504"/>
      <c r="B40" s="1507"/>
      <c r="C40" s="1495"/>
      <c r="D40" s="1502"/>
      <c r="E40" s="855" t="s">
        <v>986</v>
      </c>
      <c r="F40" s="856">
        <f t="shared" si="3"/>
        <v>0</v>
      </c>
      <c r="G40" s="856"/>
      <c r="H40" s="856"/>
      <c r="I40" s="856"/>
      <c r="J40" s="857"/>
      <c r="K40" s="849"/>
    </row>
    <row r="41" spans="1:11" s="850" customFormat="1" ht="15" hidden="1" customHeight="1">
      <c r="A41" s="1504"/>
      <c r="B41" s="1507"/>
      <c r="C41" s="1495">
        <v>801</v>
      </c>
      <c r="D41" s="1502" t="s">
        <v>535</v>
      </c>
      <c r="E41" s="855" t="s">
        <v>279</v>
      </c>
      <c r="F41" s="856">
        <f t="shared" si="3"/>
        <v>0</v>
      </c>
      <c r="G41" s="856"/>
      <c r="H41" s="856"/>
      <c r="I41" s="856"/>
      <c r="J41" s="857"/>
      <c r="K41" s="849"/>
    </row>
    <row r="42" spans="1:11" s="850" customFormat="1" ht="15" hidden="1" customHeight="1">
      <c r="A42" s="1504"/>
      <c r="B42" s="1507"/>
      <c r="C42" s="1495"/>
      <c r="D42" s="1502"/>
      <c r="E42" s="855" t="s">
        <v>986</v>
      </c>
      <c r="F42" s="856">
        <f t="shared" si="3"/>
        <v>0</v>
      </c>
      <c r="G42" s="856"/>
      <c r="H42" s="856"/>
      <c r="I42" s="856"/>
      <c r="J42" s="857"/>
      <c r="K42" s="849"/>
    </row>
    <row r="43" spans="1:11" s="850" customFormat="1" ht="15" hidden="1" customHeight="1">
      <c r="A43" s="1504"/>
      <c r="B43" s="1507"/>
      <c r="C43" s="1495">
        <v>852</v>
      </c>
      <c r="D43" s="1502" t="s">
        <v>597</v>
      </c>
      <c r="E43" s="855" t="s">
        <v>279</v>
      </c>
      <c r="F43" s="856">
        <f t="shared" si="3"/>
        <v>0</v>
      </c>
      <c r="G43" s="856"/>
      <c r="H43" s="856"/>
      <c r="I43" s="856"/>
      <c r="J43" s="857"/>
      <c r="K43" s="849"/>
    </row>
    <row r="44" spans="1:11" s="850" customFormat="1" ht="15" hidden="1" customHeight="1">
      <c r="A44" s="1504"/>
      <c r="B44" s="1507"/>
      <c r="C44" s="1495"/>
      <c r="D44" s="1502"/>
      <c r="E44" s="855" t="s">
        <v>986</v>
      </c>
      <c r="F44" s="856">
        <f t="shared" si="3"/>
        <v>0</v>
      </c>
      <c r="G44" s="856"/>
      <c r="H44" s="856"/>
      <c r="I44" s="856"/>
      <c r="J44" s="857"/>
      <c r="K44" s="849"/>
    </row>
    <row r="45" spans="1:11" s="850" customFormat="1" ht="15" hidden="1" customHeight="1">
      <c r="A45" s="1504"/>
      <c r="B45" s="1507"/>
      <c r="C45" s="1495"/>
      <c r="D45" s="1502" t="s">
        <v>599</v>
      </c>
      <c r="E45" s="855" t="s">
        <v>279</v>
      </c>
      <c r="F45" s="856">
        <f t="shared" si="3"/>
        <v>0</v>
      </c>
      <c r="G45" s="856"/>
      <c r="H45" s="856"/>
      <c r="I45" s="856"/>
      <c r="J45" s="857"/>
      <c r="K45" s="849"/>
    </row>
    <row r="46" spans="1:11" s="850" customFormat="1" ht="15" hidden="1" customHeight="1">
      <c r="A46" s="1504"/>
      <c r="B46" s="1507"/>
      <c r="C46" s="1495"/>
      <c r="D46" s="1502"/>
      <c r="E46" s="855" t="s">
        <v>986</v>
      </c>
      <c r="F46" s="856">
        <f t="shared" si="3"/>
        <v>0</v>
      </c>
      <c r="G46" s="856"/>
      <c r="H46" s="856"/>
      <c r="I46" s="856"/>
      <c r="J46" s="857"/>
      <c r="K46" s="849"/>
    </row>
    <row r="47" spans="1:11" s="850" customFormat="1" ht="15" hidden="1" customHeight="1">
      <c r="A47" s="1504"/>
      <c r="B47" s="1507"/>
      <c r="C47" s="1495"/>
      <c r="D47" s="1502" t="s">
        <v>603</v>
      </c>
      <c r="E47" s="855" t="s">
        <v>279</v>
      </c>
      <c r="F47" s="856">
        <f t="shared" si="3"/>
        <v>0</v>
      </c>
      <c r="G47" s="856"/>
      <c r="H47" s="856"/>
      <c r="I47" s="856"/>
      <c r="J47" s="857"/>
      <c r="K47" s="849"/>
    </row>
    <row r="48" spans="1:11" s="850" customFormat="1" ht="15" hidden="1" customHeight="1">
      <c r="A48" s="1504"/>
      <c r="B48" s="1507"/>
      <c r="C48" s="1495"/>
      <c r="D48" s="1502"/>
      <c r="E48" s="855" t="s">
        <v>986</v>
      </c>
      <c r="F48" s="856">
        <f t="shared" si="3"/>
        <v>0</v>
      </c>
      <c r="G48" s="856"/>
      <c r="H48" s="856"/>
      <c r="I48" s="856"/>
      <c r="J48" s="857"/>
      <c r="K48" s="849"/>
    </row>
    <row r="49" spans="1:11" s="850" customFormat="1" ht="15" hidden="1" customHeight="1">
      <c r="A49" s="1504"/>
      <c r="B49" s="1507"/>
      <c r="C49" s="1495">
        <v>853</v>
      </c>
      <c r="D49" s="1502" t="s">
        <v>661</v>
      </c>
      <c r="E49" s="855" t="s">
        <v>279</v>
      </c>
      <c r="F49" s="856">
        <f t="shared" si="3"/>
        <v>0</v>
      </c>
      <c r="G49" s="856"/>
      <c r="H49" s="856"/>
      <c r="I49" s="856"/>
      <c r="J49" s="857"/>
      <c r="K49" s="849"/>
    </row>
    <row r="50" spans="1:11" s="850" customFormat="1" ht="15" hidden="1" customHeight="1">
      <c r="A50" s="1504"/>
      <c r="B50" s="1507"/>
      <c r="C50" s="1495"/>
      <c r="D50" s="1502"/>
      <c r="E50" s="855" t="s">
        <v>986</v>
      </c>
      <c r="F50" s="856">
        <f t="shared" si="3"/>
        <v>0</v>
      </c>
      <c r="G50" s="856"/>
      <c r="H50" s="856"/>
      <c r="I50" s="856"/>
      <c r="J50" s="857"/>
      <c r="K50" s="849"/>
    </row>
    <row r="51" spans="1:11" s="850" customFormat="1" ht="15" hidden="1" customHeight="1">
      <c r="A51" s="1504"/>
      <c r="B51" s="1507"/>
      <c r="C51" s="1495">
        <v>854</v>
      </c>
      <c r="D51" s="1502" t="s">
        <v>676</v>
      </c>
      <c r="E51" s="855" t="s">
        <v>279</v>
      </c>
      <c r="F51" s="856">
        <f t="shared" si="3"/>
        <v>0</v>
      </c>
      <c r="G51" s="856"/>
      <c r="H51" s="856"/>
      <c r="I51" s="856"/>
      <c r="J51" s="857"/>
      <c r="K51" s="849"/>
    </row>
    <row r="52" spans="1:11" s="850" customFormat="1" ht="15" hidden="1" customHeight="1">
      <c r="A52" s="1504"/>
      <c r="B52" s="1507"/>
      <c r="C52" s="1495"/>
      <c r="D52" s="1502"/>
      <c r="E52" s="855" t="s">
        <v>986</v>
      </c>
      <c r="F52" s="856">
        <f t="shared" si="3"/>
        <v>0</v>
      </c>
      <c r="G52" s="856"/>
      <c r="H52" s="856"/>
      <c r="I52" s="856"/>
      <c r="J52" s="857"/>
      <c r="K52" s="849"/>
    </row>
    <row r="53" spans="1:11" s="850" customFormat="1" ht="22.5" customHeight="1" thickBot="1">
      <c r="A53" s="1505"/>
      <c r="B53" s="1508"/>
      <c r="C53" s="1495"/>
      <c r="D53" s="1495"/>
      <c r="E53" s="858" t="s">
        <v>977</v>
      </c>
      <c r="F53" s="852">
        <f>SUM(F54:F54)</f>
        <v>0</v>
      </c>
      <c r="G53" s="852">
        <f>SUM(G54:G54)</f>
        <v>0</v>
      </c>
      <c r="H53" s="852">
        <f>SUM(H54:H54)</f>
        <v>0</v>
      </c>
      <c r="I53" s="852">
        <f>SUM(I54:I54)</f>
        <v>0</v>
      </c>
      <c r="J53" s="853">
        <f>SUM(J54:J54)</f>
        <v>0</v>
      </c>
      <c r="K53" s="849"/>
    </row>
    <row r="54" spans="1:11" s="850" customFormat="1" ht="15" hidden="1" customHeight="1" thickBot="1">
      <c r="A54" s="865"/>
      <c r="B54" s="866"/>
      <c r="C54" s="867"/>
      <c r="D54" s="868"/>
      <c r="E54" s="868"/>
      <c r="F54" s="869">
        <f t="shared" ref="F54" si="4">SUM(G54:J54)</f>
        <v>0</v>
      </c>
      <c r="G54" s="869"/>
      <c r="H54" s="869"/>
      <c r="I54" s="869"/>
      <c r="J54" s="870"/>
      <c r="K54" s="849"/>
    </row>
    <row r="55" spans="1:11" s="850" customFormat="1" ht="24.95" customHeight="1" thickBot="1">
      <c r="A55" s="841" t="s">
        <v>987</v>
      </c>
      <c r="B55" s="1496" t="s">
        <v>988</v>
      </c>
      <c r="C55" s="1496"/>
      <c r="D55" s="1496"/>
      <c r="E55" s="1496"/>
      <c r="F55" s="863">
        <f>F57</f>
        <v>294622</v>
      </c>
      <c r="G55" s="863">
        <f t="shared" ref="G55:J55" si="5">G57</f>
        <v>44194</v>
      </c>
      <c r="H55" s="863">
        <f t="shared" si="5"/>
        <v>250428</v>
      </c>
      <c r="I55" s="863">
        <f t="shared" si="5"/>
        <v>0</v>
      </c>
      <c r="J55" s="864">
        <f t="shared" si="5"/>
        <v>0</v>
      </c>
      <c r="K55" s="849"/>
    </row>
    <row r="56" spans="1:11" s="850" customFormat="1">
      <c r="A56" s="1497"/>
      <c r="B56" s="1498"/>
      <c r="C56" s="1498"/>
      <c r="D56" s="1498"/>
      <c r="E56" s="1498"/>
      <c r="F56" s="1498"/>
      <c r="G56" s="1498"/>
      <c r="H56" s="1498"/>
      <c r="I56" s="1498"/>
      <c r="J56" s="1499"/>
      <c r="K56" s="849"/>
    </row>
    <row r="57" spans="1:11" ht="24.95" customHeight="1">
      <c r="A57" s="1500" t="s">
        <v>974</v>
      </c>
      <c r="B57" s="1501" t="s">
        <v>989</v>
      </c>
      <c r="C57" s="1495">
        <v>852</v>
      </c>
      <c r="D57" s="1502" t="s">
        <v>603</v>
      </c>
      <c r="E57" s="846" t="s">
        <v>976</v>
      </c>
      <c r="F57" s="847">
        <f>SUM(F58,F89)</f>
        <v>294622</v>
      </c>
      <c r="G57" s="847">
        <f>SUM(G58,G89)</f>
        <v>44194</v>
      </c>
      <c r="H57" s="847">
        <f>SUM(H58,H89)</f>
        <v>250428</v>
      </c>
      <c r="I57" s="847">
        <f>SUM(I58,I89)</f>
        <v>0</v>
      </c>
      <c r="J57" s="848">
        <f>SUM(J58,J89)</f>
        <v>0</v>
      </c>
    </row>
    <row r="58" spans="1:11" ht="24.95" customHeight="1">
      <c r="A58" s="1500"/>
      <c r="B58" s="1501"/>
      <c r="C58" s="1495"/>
      <c r="D58" s="1502"/>
      <c r="E58" s="851" t="s">
        <v>990</v>
      </c>
      <c r="F58" s="852">
        <f>SUM(F59,F61,F72)</f>
        <v>294622</v>
      </c>
      <c r="G58" s="852">
        <f>SUM(G59,G61,G72)</f>
        <v>44194</v>
      </c>
      <c r="H58" s="852">
        <f>SUM(H59,H61,H72)</f>
        <v>250428</v>
      </c>
      <c r="I58" s="852">
        <f>SUM(I59,I61,I72)</f>
        <v>0</v>
      </c>
      <c r="J58" s="853">
        <f>SUM(J59,J61,J72)</f>
        <v>0</v>
      </c>
    </row>
    <row r="59" spans="1:11" ht="24.95" hidden="1" customHeight="1">
      <c r="A59" s="1500"/>
      <c r="B59" s="1501"/>
      <c r="C59" s="1495"/>
      <c r="D59" s="1502"/>
      <c r="E59" s="860" t="s">
        <v>991</v>
      </c>
      <c r="F59" s="861">
        <f>SUM(F60:F60)</f>
        <v>0</v>
      </c>
      <c r="G59" s="861">
        <f>SUM(G60:G60)</f>
        <v>0</v>
      </c>
      <c r="H59" s="861">
        <f>SUM(H60:H60)</f>
        <v>0</v>
      </c>
      <c r="I59" s="861">
        <f>SUM(I60:I60)</f>
        <v>0</v>
      </c>
      <c r="J59" s="862">
        <f>SUM(J60:J60)</f>
        <v>0</v>
      </c>
    </row>
    <row r="60" spans="1:11" ht="15" hidden="1" customHeight="1">
      <c r="A60" s="1500"/>
      <c r="B60" s="1501"/>
      <c r="C60" s="1495"/>
      <c r="D60" s="1502"/>
      <c r="E60" s="855" t="s">
        <v>527</v>
      </c>
      <c r="F60" s="856">
        <f>SUM(G60:J60)</f>
        <v>0</v>
      </c>
      <c r="G60" s="856"/>
      <c r="H60" s="856"/>
      <c r="I60" s="856"/>
      <c r="J60" s="857"/>
    </row>
    <row r="61" spans="1:11" ht="24.95" customHeight="1">
      <c r="A61" s="1500"/>
      <c r="B61" s="1501"/>
      <c r="C61" s="1495"/>
      <c r="D61" s="1502"/>
      <c r="E61" s="860" t="s">
        <v>981</v>
      </c>
      <c r="F61" s="861">
        <f>SUM(F62:F71)</f>
        <v>201441</v>
      </c>
      <c r="G61" s="861">
        <f>SUM(G62:G71)</f>
        <v>30214</v>
      </c>
      <c r="H61" s="861">
        <f>SUM(H62:H71)</f>
        <v>171227</v>
      </c>
      <c r="I61" s="861">
        <f>SUM(I62:I71)</f>
        <v>0</v>
      </c>
      <c r="J61" s="862">
        <f>SUM(J62:J71)</f>
        <v>0</v>
      </c>
    </row>
    <row r="62" spans="1:11" ht="15" customHeight="1">
      <c r="A62" s="1500"/>
      <c r="B62" s="1501"/>
      <c r="C62" s="1495"/>
      <c r="D62" s="1502"/>
      <c r="E62" s="855" t="s">
        <v>604</v>
      </c>
      <c r="F62" s="856">
        <f t="shared" ref="F62:F71" si="6">SUM(G62:J62)</f>
        <v>21728</v>
      </c>
      <c r="G62" s="856">
        <v>21728</v>
      </c>
      <c r="H62" s="856"/>
      <c r="I62" s="856"/>
      <c r="J62" s="857"/>
    </row>
    <row r="63" spans="1:11" ht="15" customHeight="1">
      <c r="A63" s="1500"/>
      <c r="B63" s="1501"/>
      <c r="C63" s="1495"/>
      <c r="D63" s="1502"/>
      <c r="E63" s="855" t="s">
        <v>335</v>
      </c>
      <c r="F63" s="856">
        <f t="shared" si="6"/>
        <v>123131</v>
      </c>
      <c r="G63" s="856"/>
      <c r="H63" s="856">
        <v>123131</v>
      </c>
      <c r="I63" s="856"/>
      <c r="J63" s="857"/>
    </row>
    <row r="64" spans="1:11" ht="15" customHeight="1">
      <c r="A64" s="1500"/>
      <c r="B64" s="1501"/>
      <c r="C64" s="1495"/>
      <c r="D64" s="1502"/>
      <c r="E64" s="855" t="s">
        <v>605</v>
      </c>
      <c r="F64" s="856">
        <f t="shared" si="6"/>
        <v>3582</v>
      </c>
      <c r="G64" s="856">
        <v>3582</v>
      </c>
      <c r="H64" s="856"/>
      <c r="I64" s="856"/>
      <c r="J64" s="857"/>
    </row>
    <row r="65" spans="1:10" ht="15" customHeight="1">
      <c r="A65" s="1500"/>
      <c r="B65" s="1501"/>
      <c r="C65" s="1495"/>
      <c r="D65" s="1502"/>
      <c r="E65" s="855" t="s">
        <v>428</v>
      </c>
      <c r="F65" s="856">
        <f t="shared" si="6"/>
        <v>20298</v>
      </c>
      <c r="G65" s="856"/>
      <c r="H65" s="856">
        <v>20298</v>
      </c>
      <c r="I65" s="856"/>
      <c r="J65" s="857"/>
    </row>
    <row r="66" spans="1:10" ht="15" customHeight="1">
      <c r="A66" s="1500"/>
      <c r="B66" s="1501"/>
      <c r="C66" s="1495"/>
      <c r="D66" s="1502"/>
      <c r="E66" s="855" t="s">
        <v>606</v>
      </c>
      <c r="F66" s="856">
        <f t="shared" si="6"/>
        <v>4284</v>
      </c>
      <c r="G66" s="856">
        <v>4284</v>
      </c>
      <c r="H66" s="856"/>
      <c r="I66" s="856"/>
      <c r="J66" s="857"/>
    </row>
    <row r="67" spans="1:10" ht="15" customHeight="1">
      <c r="A67" s="1500"/>
      <c r="B67" s="1501"/>
      <c r="C67" s="1495"/>
      <c r="D67" s="1502"/>
      <c r="E67" s="855" t="s">
        <v>336</v>
      </c>
      <c r="F67" s="856">
        <f t="shared" si="6"/>
        <v>24284</v>
      </c>
      <c r="G67" s="856"/>
      <c r="H67" s="856">
        <v>24284</v>
      </c>
      <c r="I67" s="856"/>
      <c r="J67" s="857"/>
    </row>
    <row r="68" spans="1:10" ht="15" customHeight="1">
      <c r="A68" s="1500"/>
      <c r="B68" s="1501"/>
      <c r="C68" s="1495"/>
      <c r="D68" s="1502"/>
      <c r="E68" s="855" t="s">
        <v>607</v>
      </c>
      <c r="F68" s="856">
        <f t="shared" si="6"/>
        <v>620</v>
      </c>
      <c r="G68" s="856">
        <v>620</v>
      </c>
      <c r="H68" s="856"/>
      <c r="I68" s="856"/>
      <c r="J68" s="857"/>
    </row>
    <row r="69" spans="1:10" ht="15" customHeight="1">
      <c r="A69" s="1500"/>
      <c r="B69" s="1501"/>
      <c r="C69" s="1495"/>
      <c r="D69" s="1502"/>
      <c r="E69" s="855" t="s">
        <v>337</v>
      </c>
      <c r="F69" s="856">
        <f t="shared" si="6"/>
        <v>3514</v>
      </c>
      <c r="G69" s="856"/>
      <c r="H69" s="856">
        <v>3514</v>
      </c>
      <c r="I69" s="856"/>
      <c r="J69" s="857"/>
    </row>
    <row r="70" spans="1:10" ht="15" hidden="1" customHeight="1">
      <c r="A70" s="1500"/>
      <c r="B70" s="1501"/>
      <c r="C70" s="1495"/>
      <c r="D70" s="1502"/>
      <c r="E70" s="855" t="s">
        <v>608</v>
      </c>
      <c r="F70" s="856">
        <f t="shared" si="6"/>
        <v>0</v>
      </c>
      <c r="G70" s="856"/>
      <c r="H70" s="856"/>
      <c r="I70" s="856"/>
      <c r="J70" s="857"/>
    </row>
    <row r="71" spans="1:10" ht="15" hidden="1" customHeight="1">
      <c r="A71" s="1500"/>
      <c r="B71" s="1501"/>
      <c r="C71" s="1495"/>
      <c r="D71" s="1502"/>
      <c r="E71" s="855" t="s">
        <v>368</v>
      </c>
      <c r="F71" s="856">
        <f t="shared" si="6"/>
        <v>0</v>
      </c>
      <c r="G71" s="856"/>
      <c r="H71" s="856"/>
      <c r="I71" s="856"/>
      <c r="J71" s="857"/>
    </row>
    <row r="72" spans="1:10" ht="24.95" customHeight="1">
      <c r="A72" s="1500"/>
      <c r="B72" s="1501"/>
      <c r="C72" s="1495"/>
      <c r="D72" s="1502"/>
      <c r="E72" s="860" t="s">
        <v>982</v>
      </c>
      <c r="F72" s="861">
        <f>SUM(F73:F88)</f>
        <v>93181</v>
      </c>
      <c r="G72" s="861">
        <f>SUM(G73:G88)</f>
        <v>13980</v>
      </c>
      <c r="H72" s="861">
        <f>SUM(H73:H88)</f>
        <v>79201</v>
      </c>
      <c r="I72" s="861">
        <f>SUM(I73:I88)</f>
        <v>0</v>
      </c>
      <c r="J72" s="862">
        <f>SUM(J73:J88)</f>
        <v>0</v>
      </c>
    </row>
    <row r="73" spans="1:10" ht="15" customHeight="1">
      <c r="A73" s="1500"/>
      <c r="B73" s="1501"/>
      <c r="C73" s="1495"/>
      <c r="D73" s="1502"/>
      <c r="E73" s="855" t="s">
        <v>609</v>
      </c>
      <c r="F73" s="856">
        <f t="shared" ref="F73:F88" si="7">SUM(G73:J73)</f>
        <v>450</v>
      </c>
      <c r="G73" s="856">
        <v>450</v>
      </c>
      <c r="H73" s="856"/>
      <c r="I73" s="856"/>
      <c r="J73" s="857"/>
    </row>
    <row r="74" spans="1:10" ht="15" customHeight="1">
      <c r="A74" s="1500"/>
      <c r="B74" s="1501"/>
      <c r="C74" s="1495"/>
      <c r="D74" s="1502"/>
      <c r="E74" s="855" t="s">
        <v>369</v>
      </c>
      <c r="F74" s="856">
        <f t="shared" si="7"/>
        <v>2550</v>
      </c>
      <c r="G74" s="856"/>
      <c r="H74" s="856">
        <v>2550</v>
      </c>
      <c r="I74" s="856"/>
      <c r="J74" s="857"/>
    </row>
    <row r="75" spans="1:10" ht="15" customHeight="1">
      <c r="A75" s="1500"/>
      <c r="B75" s="1501"/>
      <c r="C75" s="1495"/>
      <c r="D75" s="1502"/>
      <c r="E75" s="855" t="s">
        <v>610</v>
      </c>
      <c r="F75" s="856">
        <f t="shared" si="7"/>
        <v>826</v>
      </c>
      <c r="G75" s="856">
        <v>826</v>
      </c>
      <c r="H75" s="856"/>
      <c r="I75" s="856"/>
      <c r="J75" s="857"/>
    </row>
    <row r="76" spans="1:10" ht="15" customHeight="1">
      <c r="A76" s="1500"/>
      <c r="B76" s="1501"/>
      <c r="C76" s="1495"/>
      <c r="D76" s="1502"/>
      <c r="E76" s="855" t="s">
        <v>429</v>
      </c>
      <c r="F76" s="856">
        <f t="shared" si="7"/>
        <v>4680</v>
      </c>
      <c r="G76" s="856"/>
      <c r="H76" s="856">
        <v>4680</v>
      </c>
      <c r="I76" s="856"/>
      <c r="J76" s="857"/>
    </row>
    <row r="77" spans="1:10" ht="15" customHeight="1">
      <c r="A77" s="1500"/>
      <c r="B77" s="1501"/>
      <c r="C77" s="1495"/>
      <c r="D77" s="1502"/>
      <c r="E77" s="855" t="s">
        <v>611</v>
      </c>
      <c r="F77" s="856">
        <f t="shared" si="7"/>
        <v>10366</v>
      </c>
      <c r="G77" s="856">
        <v>10366</v>
      </c>
      <c r="H77" s="856"/>
      <c r="I77" s="856"/>
      <c r="J77" s="857"/>
    </row>
    <row r="78" spans="1:10" ht="15" customHeight="1">
      <c r="A78" s="1500"/>
      <c r="B78" s="1501"/>
      <c r="C78" s="1495"/>
      <c r="D78" s="1502"/>
      <c r="E78" s="855" t="s">
        <v>338</v>
      </c>
      <c r="F78" s="856">
        <f t="shared" si="7"/>
        <v>58738</v>
      </c>
      <c r="G78" s="856"/>
      <c r="H78" s="856">
        <v>58738</v>
      </c>
      <c r="I78" s="856"/>
      <c r="J78" s="857"/>
    </row>
    <row r="79" spans="1:10" ht="15" customHeight="1">
      <c r="A79" s="1500"/>
      <c r="B79" s="1501"/>
      <c r="C79" s="1495"/>
      <c r="D79" s="1502"/>
      <c r="E79" s="855" t="s">
        <v>613</v>
      </c>
      <c r="F79" s="856">
        <f t="shared" si="7"/>
        <v>379</v>
      </c>
      <c r="G79" s="856">
        <v>379</v>
      </c>
      <c r="H79" s="856"/>
      <c r="I79" s="856"/>
      <c r="J79" s="857"/>
    </row>
    <row r="80" spans="1:10" ht="15" customHeight="1">
      <c r="A80" s="1500"/>
      <c r="B80" s="1501"/>
      <c r="C80" s="1495"/>
      <c r="D80" s="1502"/>
      <c r="E80" s="855" t="s">
        <v>532</v>
      </c>
      <c r="F80" s="856">
        <f t="shared" si="7"/>
        <v>2148</v>
      </c>
      <c r="G80" s="856"/>
      <c r="H80" s="856">
        <v>2148</v>
      </c>
      <c r="I80" s="856"/>
      <c r="J80" s="857"/>
    </row>
    <row r="81" spans="1:10" ht="15" customHeight="1">
      <c r="A81" s="1500"/>
      <c r="B81" s="1501"/>
      <c r="C81" s="1495"/>
      <c r="D81" s="1502"/>
      <c r="E81" s="855" t="s">
        <v>614</v>
      </c>
      <c r="F81" s="856">
        <f t="shared" si="7"/>
        <v>422</v>
      </c>
      <c r="G81" s="856">
        <v>422</v>
      </c>
      <c r="H81" s="856"/>
      <c r="I81" s="856"/>
      <c r="J81" s="857"/>
    </row>
    <row r="82" spans="1:10" ht="15" customHeight="1">
      <c r="A82" s="1500"/>
      <c r="B82" s="1501"/>
      <c r="C82" s="1495"/>
      <c r="D82" s="1502"/>
      <c r="E82" s="855" t="s">
        <v>370</v>
      </c>
      <c r="F82" s="856">
        <f t="shared" si="7"/>
        <v>2386</v>
      </c>
      <c r="G82" s="856"/>
      <c r="H82" s="856">
        <v>2386</v>
      </c>
      <c r="I82" s="856"/>
      <c r="J82" s="857"/>
    </row>
    <row r="83" spans="1:10" ht="15" customHeight="1">
      <c r="A83" s="1500"/>
      <c r="B83" s="1501"/>
      <c r="C83" s="1495"/>
      <c r="D83" s="1502"/>
      <c r="E83" s="855" t="s">
        <v>615</v>
      </c>
      <c r="F83" s="856">
        <f t="shared" si="7"/>
        <v>1134</v>
      </c>
      <c r="G83" s="856">
        <v>1134</v>
      </c>
      <c r="H83" s="856"/>
      <c r="I83" s="856"/>
      <c r="J83" s="857"/>
    </row>
    <row r="84" spans="1:10" ht="15" customHeight="1">
      <c r="A84" s="1500"/>
      <c r="B84" s="1501"/>
      <c r="C84" s="1495"/>
      <c r="D84" s="1502"/>
      <c r="E84" s="855" t="s">
        <v>433</v>
      </c>
      <c r="F84" s="856">
        <f t="shared" si="7"/>
        <v>6426</v>
      </c>
      <c r="G84" s="856"/>
      <c r="H84" s="856">
        <v>6426</v>
      </c>
      <c r="I84" s="856"/>
      <c r="J84" s="857"/>
    </row>
    <row r="85" spans="1:10" ht="15" customHeight="1">
      <c r="A85" s="1500"/>
      <c r="B85" s="1501"/>
      <c r="C85" s="1495"/>
      <c r="D85" s="1502"/>
      <c r="E85" s="855" t="s">
        <v>616</v>
      </c>
      <c r="F85" s="856">
        <f t="shared" si="7"/>
        <v>351</v>
      </c>
      <c r="G85" s="856">
        <v>351</v>
      </c>
      <c r="H85" s="856"/>
      <c r="I85" s="856"/>
      <c r="J85" s="857"/>
    </row>
    <row r="86" spans="1:10" ht="15" customHeight="1">
      <c r="A86" s="1500"/>
      <c r="B86" s="1501"/>
      <c r="C86" s="1495"/>
      <c r="D86" s="1502"/>
      <c r="E86" s="855" t="s">
        <v>339</v>
      </c>
      <c r="F86" s="856">
        <f t="shared" si="7"/>
        <v>1980</v>
      </c>
      <c r="G86" s="856"/>
      <c r="H86" s="856">
        <v>1980</v>
      </c>
      <c r="I86" s="856"/>
      <c r="J86" s="857"/>
    </row>
    <row r="87" spans="1:10" ht="15" customHeight="1">
      <c r="A87" s="1500"/>
      <c r="B87" s="1501"/>
      <c r="C87" s="1495"/>
      <c r="D87" s="1502"/>
      <c r="E87" s="855" t="s">
        <v>619</v>
      </c>
      <c r="F87" s="856">
        <f t="shared" si="7"/>
        <v>52</v>
      </c>
      <c r="G87" s="856">
        <v>52</v>
      </c>
      <c r="H87" s="856"/>
      <c r="I87" s="856"/>
      <c r="J87" s="857"/>
    </row>
    <row r="88" spans="1:10" ht="15" customHeight="1">
      <c r="A88" s="1500"/>
      <c r="B88" s="1501"/>
      <c r="C88" s="1495"/>
      <c r="D88" s="1502"/>
      <c r="E88" s="855" t="s">
        <v>542</v>
      </c>
      <c r="F88" s="856">
        <f t="shared" si="7"/>
        <v>293</v>
      </c>
      <c r="G88" s="856"/>
      <c r="H88" s="856">
        <v>293</v>
      </c>
      <c r="I88" s="856"/>
      <c r="J88" s="857"/>
    </row>
    <row r="89" spans="1:10" ht="24.95" customHeight="1" thickBot="1">
      <c r="A89" s="1500"/>
      <c r="B89" s="1501"/>
      <c r="C89" s="1495"/>
      <c r="D89" s="1502"/>
      <c r="E89" s="858" t="s">
        <v>977</v>
      </c>
      <c r="F89" s="852">
        <f>SUM(F90:F90)</f>
        <v>0</v>
      </c>
      <c r="G89" s="852">
        <f>SUM(G90:G90)</f>
        <v>0</v>
      </c>
      <c r="H89" s="852">
        <f>SUM(H90:H90)</f>
        <v>0</v>
      </c>
      <c r="I89" s="852">
        <f>SUM(I90:I90)</f>
        <v>0</v>
      </c>
      <c r="J89" s="853">
        <f>SUM(J90:J90)</f>
        <v>0</v>
      </c>
    </row>
    <row r="90" spans="1:10" ht="15" hidden="1" customHeight="1" thickBot="1">
      <c r="A90" s="1500"/>
      <c r="B90" s="1501"/>
      <c r="C90" s="1495"/>
      <c r="D90" s="1502"/>
      <c r="E90" s="855" t="s">
        <v>342</v>
      </c>
      <c r="F90" s="856">
        <f>SUM(G90:J90)</f>
        <v>0</v>
      </c>
      <c r="G90" s="856"/>
      <c r="H90" s="856"/>
      <c r="I90" s="856"/>
      <c r="J90" s="857"/>
    </row>
    <row r="91" spans="1:10" ht="24.95" customHeight="1" thickBot="1">
      <c r="A91" s="1492" t="s">
        <v>992</v>
      </c>
      <c r="B91" s="1493"/>
      <c r="C91" s="1493"/>
      <c r="D91" s="1493"/>
      <c r="E91" s="1494"/>
      <c r="F91" s="871">
        <f>F8+F33+F55</f>
        <v>23241024</v>
      </c>
      <c r="G91" s="871">
        <f>G8+G33+G55</f>
        <v>2544194</v>
      </c>
      <c r="H91" s="871">
        <f>H8+H33+H55</f>
        <v>250428</v>
      </c>
      <c r="I91" s="871">
        <f>I8+I33+I55</f>
        <v>20446402</v>
      </c>
      <c r="J91" s="872">
        <f>J8+J33+J55</f>
        <v>0</v>
      </c>
    </row>
    <row r="92" spans="1:10">
      <c r="A92" s="831"/>
      <c r="B92" s="831"/>
      <c r="C92" s="832"/>
      <c r="D92" s="832"/>
      <c r="E92" s="831"/>
      <c r="F92" s="831"/>
      <c r="G92" s="831"/>
      <c r="H92" s="831"/>
      <c r="I92" s="831"/>
      <c r="J92" s="831"/>
    </row>
    <row r="93" spans="1:10">
      <c r="A93" s="831"/>
      <c r="B93" s="831"/>
      <c r="C93" s="832"/>
      <c r="D93" s="832"/>
      <c r="E93" s="831"/>
      <c r="F93" s="831"/>
      <c r="G93" s="831"/>
      <c r="H93" s="831"/>
      <c r="I93" s="831"/>
      <c r="J93" s="831"/>
    </row>
    <row r="94" spans="1:10">
      <c r="A94" s="831"/>
      <c r="B94" s="831"/>
      <c r="C94" s="832"/>
      <c r="D94" s="832"/>
      <c r="E94" s="831"/>
      <c r="F94" s="831"/>
      <c r="G94" s="831"/>
      <c r="H94" s="831"/>
      <c r="I94" s="831"/>
      <c r="J94" s="831"/>
    </row>
    <row r="95" spans="1:10">
      <c r="A95" s="831"/>
      <c r="B95" s="831"/>
      <c r="C95" s="832"/>
      <c r="D95" s="832"/>
      <c r="E95" s="873"/>
      <c r="F95" s="874"/>
      <c r="G95" s="874"/>
      <c r="H95" s="874"/>
      <c r="I95" s="874"/>
      <c r="J95" s="874"/>
    </row>
    <row r="96" spans="1:10" s="174" customFormat="1">
      <c r="C96" s="875"/>
      <c r="D96" s="875"/>
      <c r="E96" s="876"/>
      <c r="F96" s="877"/>
      <c r="G96" s="877"/>
      <c r="H96" s="877"/>
      <c r="I96" s="877"/>
      <c r="J96" s="877"/>
    </row>
    <row r="97" spans="1:11" s="174" customFormat="1">
      <c r="C97" s="875"/>
      <c r="D97" s="875"/>
      <c r="E97" s="878"/>
      <c r="F97" s="877"/>
      <c r="G97" s="877"/>
      <c r="H97" s="877"/>
      <c r="I97" s="877"/>
      <c r="J97" s="877"/>
    </row>
    <row r="98" spans="1:11" s="174" customFormat="1">
      <c r="C98" s="875"/>
      <c r="D98" s="875"/>
      <c r="E98" s="878"/>
      <c r="F98" s="877"/>
      <c r="G98" s="877"/>
      <c r="H98" s="877"/>
      <c r="I98" s="877"/>
      <c r="J98" s="877"/>
    </row>
    <row r="99" spans="1:11" s="174" customFormat="1">
      <c r="C99" s="875"/>
      <c r="D99" s="875"/>
      <c r="E99" s="879"/>
      <c r="F99" s="877"/>
      <c r="G99" s="877"/>
      <c r="H99" s="877"/>
      <c r="I99" s="877"/>
      <c r="J99" s="877"/>
    </row>
    <row r="100" spans="1:11" s="174" customFormat="1">
      <c r="C100" s="875"/>
      <c r="D100" s="875"/>
      <c r="E100" s="880"/>
      <c r="F100" s="877"/>
      <c r="G100" s="877"/>
      <c r="H100" s="877"/>
      <c r="I100" s="877"/>
      <c r="J100" s="877"/>
    </row>
    <row r="101" spans="1:11" s="174" customFormat="1" ht="15">
      <c r="C101" s="875"/>
      <c r="D101" s="875"/>
      <c r="E101" s="881"/>
      <c r="F101" s="882"/>
      <c r="G101" s="882"/>
      <c r="H101" s="882"/>
      <c r="I101" s="882"/>
      <c r="J101" s="882"/>
      <c r="K101" s="877"/>
    </row>
    <row r="102" spans="1:11">
      <c r="A102" s="831"/>
      <c r="B102" s="831"/>
      <c r="C102" s="832"/>
      <c r="D102" s="832"/>
      <c r="E102" s="831"/>
      <c r="F102" s="874"/>
      <c r="G102" s="874"/>
      <c r="H102" s="874"/>
      <c r="I102" s="874"/>
      <c r="J102" s="874"/>
    </row>
    <row r="103" spans="1:11">
      <c r="A103" s="831"/>
      <c r="B103" s="831"/>
      <c r="C103" s="832"/>
      <c r="D103" s="832"/>
      <c r="E103" s="883"/>
      <c r="F103" s="874"/>
      <c r="G103" s="874"/>
      <c r="H103" s="874"/>
      <c r="I103" s="874"/>
      <c r="J103" s="874"/>
    </row>
    <row r="104" spans="1:11">
      <c r="A104" s="831"/>
      <c r="B104" s="831"/>
      <c r="C104" s="832"/>
      <c r="D104" s="832"/>
      <c r="E104" s="884"/>
      <c r="F104" s="874"/>
      <c r="G104" s="874"/>
      <c r="H104" s="874"/>
      <c r="I104" s="874"/>
      <c r="J104" s="874"/>
    </row>
    <row r="105" spans="1:11">
      <c r="A105" s="831"/>
      <c r="B105" s="831"/>
      <c r="C105" s="832"/>
      <c r="D105" s="832"/>
      <c r="E105" s="884"/>
      <c r="F105" s="874"/>
      <c r="G105" s="874"/>
      <c r="H105" s="874"/>
      <c r="I105" s="874"/>
      <c r="J105" s="874"/>
    </row>
    <row r="106" spans="1:11">
      <c r="A106" s="831"/>
      <c r="B106" s="831"/>
      <c r="C106" s="832"/>
      <c r="D106" s="832"/>
      <c r="E106" s="885"/>
      <c r="F106" s="874"/>
      <c r="G106" s="874"/>
      <c r="H106" s="874"/>
      <c r="I106" s="874"/>
      <c r="J106" s="874"/>
    </row>
    <row r="107" spans="1:11">
      <c r="A107" s="831"/>
      <c r="B107" s="831"/>
      <c r="C107" s="832"/>
      <c r="D107" s="832"/>
      <c r="E107" s="886"/>
      <c r="F107" s="874"/>
      <c r="G107" s="874"/>
      <c r="H107" s="874"/>
      <c r="I107" s="874"/>
      <c r="J107" s="874"/>
    </row>
    <row r="108" spans="1:11" ht="15">
      <c r="A108" s="831"/>
      <c r="B108" s="831"/>
      <c r="C108" s="832"/>
      <c r="D108" s="832"/>
      <c r="E108" s="887"/>
      <c r="F108" s="888"/>
      <c r="G108" s="888"/>
      <c r="H108" s="888"/>
      <c r="I108" s="888"/>
      <c r="J108" s="888"/>
      <c r="K108" s="2"/>
    </row>
    <row r="109" spans="1:11">
      <c r="A109" s="831"/>
      <c r="B109" s="831"/>
      <c r="C109" s="832"/>
      <c r="D109" s="832"/>
      <c r="E109" s="831"/>
      <c r="F109" s="874"/>
      <c r="G109" s="874"/>
      <c r="H109" s="874"/>
      <c r="I109" s="874"/>
      <c r="J109" s="874"/>
    </row>
    <row r="110" spans="1:11">
      <c r="A110" s="831"/>
      <c r="B110" s="831"/>
      <c r="C110" s="832"/>
      <c r="D110" s="832"/>
      <c r="E110" s="831"/>
      <c r="F110" s="874"/>
      <c r="G110" s="874"/>
      <c r="H110" s="874"/>
      <c r="I110" s="874"/>
      <c r="J110" s="874"/>
    </row>
    <row r="111" spans="1:11" s="174" customFormat="1">
      <c r="C111" s="875"/>
      <c r="D111" s="875"/>
      <c r="E111" s="879"/>
      <c r="F111" s="877"/>
      <c r="G111" s="877"/>
      <c r="H111" s="877"/>
      <c r="I111" s="877"/>
      <c r="J111" s="877"/>
    </row>
    <row r="112" spans="1:11" s="174" customFormat="1">
      <c r="C112" s="875"/>
      <c r="D112" s="875"/>
      <c r="E112" s="879"/>
      <c r="F112" s="877"/>
      <c r="G112" s="877"/>
      <c r="H112" s="877"/>
      <c r="I112" s="877"/>
      <c r="J112" s="877"/>
    </row>
    <row r="113" spans="1:10" s="174" customFormat="1">
      <c r="C113" s="875"/>
      <c r="D113" s="875"/>
      <c r="E113" s="889"/>
      <c r="F113" s="882"/>
      <c r="G113" s="882"/>
      <c r="H113" s="882"/>
      <c r="I113" s="882"/>
      <c r="J113" s="882"/>
    </row>
    <row r="114" spans="1:10">
      <c r="A114" s="831"/>
      <c r="B114" s="831"/>
      <c r="C114" s="832"/>
      <c r="D114" s="832"/>
      <c r="E114" s="890"/>
      <c r="F114" s="888"/>
      <c r="G114" s="888"/>
      <c r="H114" s="888"/>
      <c r="I114" s="888"/>
      <c r="J114" s="888"/>
    </row>
    <row r="115" spans="1:10">
      <c r="A115" s="831"/>
      <c r="B115" s="831"/>
      <c r="C115" s="832"/>
      <c r="D115" s="832"/>
      <c r="E115" s="885"/>
      <c r="F115" s="874"/>
      <c r="G115" s="874"/>
      <c r="H115" s="874"/>
      <c r="I115" s="874"/>
      <c r="J115" s="874"/>
    </row>
    <row r="116" spans="1:10">
      <c r="A116" s="831"/>
      <c r="B116" s="831"/>
      <c r="C116" s="832"/>
      <c r="D116" s="832"/>
      <c r="E116" s="885"/>
      <c r="F116" s="874"/>
      <c r="G116" s="874"/>
      <c r="H116" s="874"/>
      <c r="I116" s="874"/>
      <c r="J116" s="874"/>
    </row>
    <row r="117" spans="1:10">
      <c r="A117" s="831"/>
      <c r="B117" s="831"/>
      <c r="C117" s="832"/>
      <c r="D117" s="832"/>
      <c r="E117" s="890"/>
      <c r="F117" s="888"/>
      <c r="G117" s="888"/>
      <c r="H117" s="888"/>
      <c r="I117" s="888"/>
      <c r="J117" s="888"/>
    </row>
    <row r="118" spans="1:10">
      <c r="A118" s="831"/>
      <c r="B118" s="831"/>
      <c r="C118" s="832"/>
      <c r="D118" s="832"/>
      <c r="E118" s="891"/>
      <c r="F118" s="892"/>
      <c r="G118" s="892"/>
      <c r="H118" s="892"/>
      <c r="I118" s="892"/>
      <c r="J118" s="892"/>
    </row>
  </sheetData>
  <mergeCells count="48">
    <mergeCell ref="H1:J1"/>
    <mergeCell ref="A2:J2"/>
    <mergeCell ref="A4:J4"/>
    <mergeCell ref="A5:A6"/>
    <mergeCell ref="B5:B6"/>
    <mergeCell ref="C5:C6"/>
    <mergeCell ref="D5:D6"/>
    <mergeCell ref="E5:E6"/>
    <mergeCell ref="F5:F6"/>
    <mergeCell ref="G5:J5"/>
    <mergeCell ref="A34:J34"/>
    <mergeCell ref="B8:E8"/>
    <mergeCell ref="A9:J9"/>
    <mergeCell ref="A10:A21"/>
    <mergeCell ref="B10:B21"/>
    <mergeCell ref="C10:D10"/>
    <mergeCell ref="C11:D11"/>
    <mergeCell ref="C14:D14"/>
    <mergeCell ref="C17:C18"/>
    <mergeCell ref="A22:A32"/>
    <mergeCell ref="B22:B32"/>
    <mergeCell ref="C22:C32"/>
    <mergeCell ref="D22:D32"/>
    <mergeCell ref="B33:E33"/>
    <mergeCell ref="D45:D46"/>
    <mergeCell ref="D47:D48"/>
    <mergeCell ref="C49:C50"/>
    <mergeCell ref="D49:D50"/>
    <mergeCell ref="C51:C52"/>
    <mergeCell ref="D51:D52"/>
    <mergeCell ref="C43:C48"/>
    <mergeCell ref="D43:D44"/>
    <mergeCell ref="A91:E91"/>
    <mergeCell ref="C53:D53"/>
    <mergeCell ref="B55:E55"/>
    <mergeCell ref="A56:J56"/>
    <mergeCell ref="A57:A90"/>
    <mergeCell ref="B57:B90"/>
    <mergeCell ref="C57:C90"/>
    <mergeCell ref="D57:D90"/>
    <mergeCell ref="A35:A53"/>
    <mergeCell ref="B35:B53"/>
    <mergeCell ref="C35:D36"/>
    <mergeCell ref="C37:C40"/>
    <mergeCell ref="D37:D38"/>
    <mergeCell ref="D39:D40"/>
    <mergeCell ref="C41:C42"/>
    <mergeCell ref="D41:D4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Strona &amp;P z &amp;N</oddFooter>
  </headerFooter>
  <rowBreaks count="1" manualBreakCount="1">
    <brk id="91" max="9" man="1"/>
  </rowBreaks>
  <colBreaks count="1" manualBreakCount="1">
    <brk id="10" max="4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HR837"/>
  <sheetViews>
    <sheetView view="pageBreakPreview" zoomScaleSheetLayoutView="100" workbookViewId="0">
      <selection activeCell="A2" sqref="A2:F2"/>
    </sheetView>
  </sheetViews>
  <sheetFormatPr defaultRowHeight="12.75"/>
  <cols>
    <col min="1" max="1" width="3.5703125" style="1" customWidth="1"/>
    <col min="2" max="2" width="50.7109375" style="1" customWidth="1"/>
    <col min="3" max="4" width="7.7109375" style="821" customWidth="1"/>
    <col min="5" max="5" width="16.85546875" style="1" bestFit="1" customWidth="1"/>
    <col min="6" max="10" width="12.7109375" style="1" customWidth="1"/>
    <col min="11" max="11" width="10.85546875" style="1" bestFit="1" customWidth="1"/>
    <col min="12" max="12" width="11.140625" style="1" bestFit="1" customWidth="1"/>
    <col min="13" max="242" width="9.140625" style="1"/>
    <col min="243" max="243" width="4.28515625" style="1" bestFit="1" customWidth="1"/>
    <col min="244" max="244" width="6.85546875" style="1" bestFit="1" customWidth="1"/>
    <col min="245" max="245" width="11" style="1" customWidth="1"/>
    <col min="246" max="246" width="11.140625" style="1" bestFit="1" customWidth="1"/>
    <col min="247" max="247" width="10.85546875" style="1" customWidth="1"/>
    <col min="248" max="248" width="11.5703125" style="1" customWidth="1"/>
    <col min="249" max="249" width="11.140625" style="1" bestFit="1" customWidth="1"/>
    <col min="250" max="250" width="11" style="1" customWidth="1"/>
    <col min="251" max="251" width="10.42578125" style="1" customWidth="1"/>
    <col min="252" max="252" width="11.28515625" style="1" customWidth="1"/>
    <col min="253" max="254" width="9.140625" style="1" bestFit="1" customWidth="1"/>
    <col min="255" max="256" width="11.140625" style="1" bestFit="1" customWidth="1"/>
    <col min="257" max="257" width="11.5703125" style="1" bestFit="1" customWidth="1"/>
    <col min="258" max="258" width="9.140625" style="1" bestFit="1" customWidth="1"/>
    <col min="259" max="259" width="10.28515625" style="1" customWidth="1"/>
    <col min="260" max="498" width="9.140625" style="1"/>
    <col min="499" max="499" width="4.28515625" style="1" bestFit="1" customWidth="1"/>
    <col min="500" max="500" width="6.85546875" style="1" bestFit="1" customWidth="1"/>
    <col min="501" max="501" width="11" style="1" customWidth="1"/>
    <col min="502" max="502" width="11.140625" style="1" bestFit="1" customWidth="1"/>
    <col min="503" max="503" width="10.85546875" style="1" customWidth="1"/>
    <col min="504" max="504" width="11.5703125" style="1" customWidth="1"/>
    <col min="505" max="505" width="11.140625" style="1" bestFit="1" customWidth="1"/>
    <col min="506" max="506" width="11" style="1" customWidth="1"/>
    <col min="507" max="507" width="10.42578125" style="1" customWidth="1"/>
    <col min="508" max="508" width="11.28515625" style="1" customWidth="1"/>
    <col min="509" max="510" width="9.140625" style="1" bestFit="1" customWidth="1"/>
    <col min="511" max="512" width="11.140625" style="1" bestFit="1" customWidth="1"/>
    <col min="513" max="513" width="11.5703125" style="1" bestFit="1" customWidth="1"/>
    <col min="514" max="514" width="9.140625" style="1" bestFit="1" customWidth="1"/>
    <col min="515" max="515" width="10.28515625" style="1" customWidth="1"/>
    <col min="516" max="754" width="9.140625" style="1"/>
    <col min="755" max="755" width="4.28515625" style="1" bestFit="1" customWidth="1"/>
    <col min="756" max="756" width="6.85546875" style="1" bestFit="1" customWidth="1"/>
    <col min="757" max="757" width="11" style="1" customWidth="1"/>
    <col min="758" max="758" width="11.140625" style="1" bestFit="1" customWidth="1"/>
    <col min="759" max="759" width="10.85546875" style="1" customWidth="1"/>
    <col min="760" max="760" width="11.5703125" style="1" customWidth="1"/>
    <col min="761" max="761" width="11.140625" style="1" bestFit="1" customWidth="1"/>
    <col min="762" max="762" width="11" style="1" customWidth="1"/>
    <col min="763" max="763" width="10.42578125" style="1" customWidth="1"/>
    <col min="764" max="764" width="11.28515625" style="1" customWidth="1"/>
    <col min="765" max="766" width="9.140625" style="1" bestFit="1" customWidth="1"/>
    <col min="767" max="768" width="11.140625" style="1" bestFit="1" customWidth="1"/>
    <col min="769" max="769" width="11.5703125" style="1" bestFit="1" customWidth="1"/>
    <col min="770" max="770" width="9.140625" style="1" bestFit="1" customWidth="1"/>
    <col min="771" max="771" width="10.28515625" style="1" customWidth="1"/>
    <col min="772" max="1010" width="9.140625" style="1"/>
    <col min="1011" max="1011" width="4.28515625" style="1" bestFit="1" customWidth="1"/>
    <col min="1012" max="1012" width="6.85546875" style="1" bestFit="1" customWidth="1"/>
    <col min="1013" max="1013" width="11" style="1" customWidth="1"/>
    <col min="1014" max="1014" width="11.140625" style="1" bestFit="1" customWidth="1"/>
    <col min="1015" max="1015" width="10.85546875" style="1" customWidth="1"/>
    <col min="1016" max="1016" width="11.5703125" style="1" customWidth="1"/>
    <col min="1017" max="1017" width="11.140625" style="1" bestFit="1" customWidth="1"/>
    <col min="1018" max="1018" width="11" style="1" customWidth="1"/>
    <col min="1019" max="1019" width="10.42578125" style="1" customWidth="1"/>
    <col min="1020" max="1020" width="11.28515625" style="1" customWidth="1"/>
    <col min="1021" max="1022" width="9.140625" style="1" bestFit="1" customWidth="1"/>
    <col min="1023" max="1024" width="11.140625" style="1" bestFit="1" customWidth="1"/>
    <col min="1025" max="1025" width="11.5703125" style="1" bestFit="1" customWidth="1"/>
    <col min="1026" max="1026" width="9.140625" style="1" bestFit="1" customWidth="1"/>
    <col min="1027" max="1027" width="10.28515625" style="1" customWidth="1"/>
    <col min="1028" max="1266" width="9.140625" style="1"/>
    <col min="1267" max="1267" width="4.28515625" style="1" bestFit="1" customWidth="1"/>
    <col min="1268" max="1268" width="6.85546875" style="1" bestFit="1" customWidth="1"/>
    <col min="1269" max="1269" width="11" style="1" customWidth="1"/>
    <col min="1270" max="1270" width="11.140625" style="1" bestFit="1" customWidth="1"/>
    <col min="1271" max="1271" width="10.85546875" style="1" customWidth="1"/>
    <col min="1272" max="1272" width="11.5703125" style="1" customWidth="1"/>
    <col min="1273" max="1273" width="11.140625" style="1" bestFit="1" customWidth="1"/>
    <col min="1274" max="1274" width="11" style="1" customWidth="1"/>
    <col min="1275" max="1275" width="10.42578125" style="1" customWidth="1"/>
    <col min="1276" max="1276" width="11.28515625" style="1" customWidth="1"/>
    <col min="1277" max="1278" width="9.140625" style="1" bestFit="1" customWidth="1"/>
    <col min="1279" max="1280" width="11.140625" style="1" bestFit="1" customWidth="1"/>
    <col min="1281" max="1281" width="11.5703125" style="1" bestFit="1" customWidth="1"/>
    <col min="1282" max="1282" width="9.140625" style="1" bestFit="1" customWidth="1"/>
    <col min="1283" max="1283" width="10.28515625" style="1" customWidth="1"/>
    <col min="1284" max="1522" width="9.140625" style="1"/>
    <col min="1523" max="1523" width="4.28515625" style="1" bestFit="1" customWidth="1"/>
    <col min="1524" max="1524" width="6.85546875" style="1" bestFit="1" customWidth="1"/>
    <col min="1525" max="1525" width="11" style="1" customWidth="1"/>
    <col min="1526" max="1526" width="11.140625" style="1" bestFit="1" customWidth="1"/>
    <col min="1527" max="1527" width="10.85546875" style="1" customWidth="1"/>
    <col min="1528" max="1528" width="11.5703125" style="1" customWidth="1"/>
    <col min="1529" max="1529" width="11.140625" style="1" bestFit="1" customWidth="1"/>
    <col min="1530" max="1530" width="11" style="1" customWidth="1"/>
    <col min="1531" max="1531" width="10.42578125" style="1" customWidth="1"/>
    <col min="1532" max="1532" width="11.28515625" style="1" customWidth="1"/>
    <col min="1533" max="1534" width="9.140625" style="1" bestFit="1" customWidth="1"/>
    <col min="1535" max="1536" width="11.140625" style="1" bestFit="1" customWidth="1"/>
    <col min="1537" max="1537" width="11.5703125" style="1" bestFit="1" customWidth="1"/>
    <col min="1538" max="1538" width="9.140625" style="1" bestFit="1" customWidth="1"/>
    <col min="1539" max="1539" width="10.28515625" style="1" customWidth="1"/>
    <col min="1540" max="1778" width="9.140625" style="1"/>
    <col min="1779" max="1779" width="4.28515625" style="1" bestFit="1" customWidth="1"/>
    <col min="1780" max="1780" width="6.85546875" style="1" bestFit="1" customWidth="1"/>
    <col min="1781" max="1781" width="11" style="1" customWidth="1"/>
    <col min="1782" max="1782" width="11.140625" style="1" bestFit="1" customWidth="1"/>
    <col min="1783" max="1783" width="10.85546875" style="1" customWidth="1"/>
    <col min="1784" max="1784" width="11.5703125" style="1" customWidth="1"/>
    <col min="1785" max="1785" width="11.140625" style="1" bestFit="1" customWidth="1"/>
    <col min="1786" max="1786" width="11" style="1" customWidth="1"/>
    <col min="1787" max="1787" width="10.42578125" style="1" customWidth="1"/>
    <col min="1788" max="1788" width="11.28515625" style="1" customWidth="1"/>
    <col min="1789" max="1790" width="9.140625" style="1" bestFit="1" customWidth="1"/>
    <col min="1791" max="1792" width="11.140625" style="1" bestFit="1" customWidth="1"/>
    <col min="1793" max="1793" width="11.5703125" style="1" bestFit="1" customWidth="1"/>
    <col min="1794" max="1794" width="9.140625" style="1" bestFit="1" customWidth="1"/>
    <col min="1795" max="1795" width="10.28515625" style="1" customWidth="1"/>
    <col min="1796" max="2034" width="9.140625" style="1"/>
    <col min="2035" max="2035" width="4.28515625" style="1" bestFit="1" customWidth="1"/>
    <col min="2036" max="2036" width="6.85546875" style="1" bestFit="1" customWidth="1"/>
    <col min="2037" max="2037" width="11" style="1" customWidth="1"/>
    <col min="2038" max="2038" width="11.140625" style="1" bestFit="1" customWidth="1"/>
    <col min="2039" max="2039" width="10.85546875" style="1" customWidth="1"/>
    <col min="2040" max="2040" width="11.5703125" style="1" customWidth="1"/>
    <col min="2041" max="2041" width="11.140625" style="1" bestFit="1" customWidth="1"/>
    <col min="2042" max="2042" width="11" style="1" customWidth="1"/>
    <col min="2043" max="2043" width="10.42578125" style="1" customWidth="1"/>
    <col min="2044" max="2044" width="11.28515625" style="1" customWidth="1"/>
    <col min="2045" max="2046" width="9.140625" style="1" bestFit="1" customWidth="1"/>
    <col min="2047" max="2048" width="11.140625" style="1" bestFit="1" customWidth="1"/>
    <col min="2049" max="2049" width="11.5703125" style="1" bestFit="1" customWidth="1"/>
    <col min="2050" max="2050" width="9.140625" style="1" bestFit="1" customWidth="1"/>
    <col min="2051" max="2051" width="10.28515625" style="1" customWidth="1"/>
    <col min="2052" max="2290" width="9.140625" style="1"/>
    <col min="2291" max="2291" width="4.28515625" style="1" bestFit="1" customWidth="1"/>
    <col min="2292" max="2292" width="6.85546875" style="1" bestFit="1" customWidth="1"/>
    <col min="2293" max="2293" width="11" style="1" customWidth="1"/>
    <col min="2294" max="2294" width="11.140625" style="1" bestFit="1" customWidth="1"/>
    <col min="2295" max="2295" width="10.85546875" style="1" customWidth="1"/>
    <col min="2296" max="2296" width="11.5703125" style="1" customWidth="1"/>
    <col min="2297" max="2297" width="11.140625" style="1" bestFit="1" customWidth="1"/>
    <col min="2298" max="2298" width="11" style="1" customWidth="1"/>
    <col min="2299" max="2299" width="10.42578125" style="1" customWidth="1"/>
    <col min="2300" max="2300" width="11.28515625" style="1" customWidth="1"/>
    <col min="2301" max="2302" width="9.140625" style="1" bestFit="1" customWidth="1"/>
    <col min="2303" max="2304" width="11.140625" style="1" bestFit="1" customWidth="1"/>
    <col min="2305" max="2305" width="11.5703125" style="1" bestFit="1" customWidth="1"/>
    <col min="2306" max="2306" width="9.140625" style="1" bestFit="1" customWidth="1"/>
    <col min="2307" max="2307" width="10.28515625" style="1" customWidth="1"/>
    <col min="2308" max="2546" width="9.140625" style="1"/>
    <col min="2547" max="2547" width="4.28515625" style="1" bestFit="1" customWidth="1"/>
    <col min="2548" max="2548" width="6.85546875" style="1" bestFit="1" customWidth="1"/>
    <col min="2549" max="2549" width="11" style="1" customWidth="1"/>
    <col min="2550" max="2550" width="11.140625" style="1" bestFit="1" customWidth="1"/>
    <col min="2551" max="2551" width="10.85546875" style="1" customWidth="1"/>
    <col min="2552" max="2552" width="11.5703125" style="1" customWidth="1"/>
    <col min="2553" max="2553" width="11.140625" style="1" bestFit="1" customWidth="1"/>
    <col min="2554" max="2554" width="11" style="1" customWidth="1"/>
    <col min="2555" max="2555" width="10.42578125" style="1" customWidth="1"/>
    <col min="2556" max="2556" width="11.28515625" style="1" customWidth="1"/>
    <col min="2557" max="2558" width="9.140625" style="1" bestFit="1" customWidth="1"/>
    <col min="2559" max="2560" width="11.140625" style="1" bestFit="1" customWidth="1"/>
    <col min="2561" max="2561" width="11.5703125" style="1" bestFit="1" customWidth="1"/>
    <col min="2562" max="2562" width="9.140625" style="1" bestFit="1" customWidth="1"/>
    <col min="2563" max="2563" width="10.28515625" style="1" customWidth="1"/>
    <col min="2564" max="2802" width="9.140625" style="1"/>
    <col min="2803" max="2803" width="4.28515625" style="1" bestFit="1" customWidth="1"/>
    <col min="2804" max="2804" width="6.85546875" style="1" bestFit="1" customWidth="1"/>
    <col min="2805" max="2805" width="11" style="1" customWidth="1"/>
    <col min="2806" max="2806" width="11.140625" style="1" bestFit="1" customWidth="1"/>
    <col min="2807" max="2807" width="10.85546875" style="1" customWidth="1"/>
    <col min="2808" max="2808" width="11.5703125" style="1" customWidth="1"/>
    <col min="2809" max="2809" width="11.140625" style="1" bestFit="1" customWidth="1"/>
    <col min="2810" max="2810" width="11" style="1" customWidth="1"/>
    <col min="2811" max="2811" width="10.42578125" style="1" customWidth="1"/>
    <col min="2812" max="2812" width="11.28515625" style="1" customWidth="1"/>
    <col min="2813" max="2814" width="9.140625" style="1" bestFit="1" customWidth="1"/>
    <col min="2815" max="2816" width="11.140625" style="1" bestFit="1" customWidth="1"/>
    <col min="2817" max="2817" width="11.5703125" style="1" bestFit="1" customWidth="1"/>
    <col min="2818" max="2818" width="9.140625" style="1" bestFit="1" customWidth="1"/>
    <col min="2819" max="2819" width="10.28515625" style="1" customWidth="1"/>
    <col min="2820" max="3058" width="9.140625" style="1"/>
    <col min="3059" max="3059" width="4.28515625" style="1" bestFit="1" customWidth="1"/>
    <col min="3060" max="3060" width="6.85546875" style="1" bestFit="1" customWidth="1"/>
    <col min="3061" max="3061" width="11" style="1" customWidth="1"/>
    <col min="3062" max="3062" width="11.140625" style="1" bestFit="1" customWidth="1"/>
    <col min="3063" max="3063" width="10.85546875" style="1" customWidth="1"/>
    <col min="3064" max="3064" width="11.5703125" style="1" customWidth="1"/>
    <col min="3065" max="3065" width="11.140625" style="1" bestFit="1" customWidth="1"/>
    <col min="3066" max="3066" width="11" style="1" customWidth="1"/>
    <col min="3067" max="3067" width="10.42578125" style="1" customWidth="1"/>
    <col min="3068" max="3068" width="11.28515625" style="1" customWidth="1"/>
    <col min="3069" max="3070" width="9.140625" style="1" bestFit="1" customWidth="1"/>
    <col min="3071" max="3072" width="11.140625" style="1" bestFit="1" customWidth="1"/>
    <col min="3073" max="3073" width="11.5703125" style="1" bestFit="1" customWidth="1"/>
    <col min="3074" max="3074" width="9.140625" style="1" bestFit="1" customWidth="1"/>
    <col min="3075" max="3075" width="10.28515625" style="1" customWidth="1"/>
    <col min="3076" max="3314" width="9.140625" style="1"/>
    <col min="3315" max="3315" width="4.28515625" style="1" bestFit="1" customWidth="1"/>
    <col min="3316" max="3316" width="6.85546875" style="1" bestFit="1" customWidth="1"/>
    <col min="3317" max="3317" width="11" style="1" customWidth="1"/>
    <col min="3318" max="3318" width="11.140625" style="1" bestFit="1" customWidth="1"/>
    <col min="3319" max="3319" width="10.85546875" style="1" customWidth="1"/>
    <col min="3320" max="3320" width="11.5703125" style="1" customWidth="1"/>
    <col min="3321" max="3321" width="11.140625" style="1" bestFit="1" customWidth="1"/>
    <col min="3322" max="3322" width="11" style="1" customWidth="1"/>
    <col min="3323" max="3323" width="10.42578125" style="1" customWidth="1"/>
    <col min="3324" max="3324" width="11.28515625" style="1" customWidth="1"/>
    <col min="3325" max="3326" width="9.140625" style="1" bestFit="1" customWidth="1"/>
    <col min="3327" max="3328" width="11.140625" style="1" bestFit="1" customWidth="1"/>
    <col min="3329" max="3329" width="11.5703125" style="1" bestFit="1" customWidth="1"/>
    <col min="3330" max="3330" width="9.140625" style="1" bestFit="1" customWidth="1"/>
    <col min="3331" max="3331" width="10.28515625" style="1" customWidth="1"/>
    <col min="3332" max="3570" width="9.140625" style="1"/>
    <col min="3571" max="3571" width="4.28515625" style="1" bestFit="1" customWidth="1"/>
    <col min="3572" max="3572" width="6.85546875" style="1" bestFit="1" customWidth="1"/>
    <col min="3573" max="3573" width="11" style="1" customWidth="1"/>
    <col min="3574" max="3574" width="11.140625" style="1" bestFit="1" customWidth="1"/>
    <col min="3575" max="3575" width="10.85546875" style="1" customWidth="1"/>
    <col min="3576" max="3576" width="11.5703125" style="1" customWidth="1"/>
    <col min="3577" max="3577" width="11.140625" style="1" bestFit="1" customWidth="1"/>
    <col min="3578" max="3578" width="11" style="1" customWidth="1"/>
    <col min="3579" max="3579" width="10.42578125" style="1" customWidth="1"/>
    <col min="3580" max="3580" width="11.28515625" style="1" customWidth="1"/>
    <col min="3581" max="3582" width="9.140625" style="1" bestFit="1" customWidth="1"/>
    <col min="3583" max="3584" width="11.140625" style="1" bestFit="1" customWidth="1"/>
    <col min="3585" max="3585" width="11.5703125" style="1" bestFit="1" customWidth="1"/>
    <col min="3586" max="3586" width="9.140625" style="1" bestFit="1" customWidth="1"/>
    <col min="3587" max="3587" width="10.28515625" style="1" customWidth="1"/>
    <col min="3588" max="3826" width="9.140625" style="1"/>
    <col min="3827" max="3827" width="4.28515625" style="1" bestFit="1" customWidth="1"/>
    <col min="3828" max="3828" width="6.85546875" style="1" bestFit="1" customWidth="1"/>
    <col min="3829" max="3829" width="11" style="1" customWidth="1"/>
    <col min="3830" max="3830" width="11.140625" style="1" bestFit="1" customWidth="1"/>
    <col min="3831" max="3831" width="10.85546875" style="1" customWidth="1"/>
    <col min="3832" max="3832" width="11.5703125" style="1" customWidth="1"/>
    <col min="3833" max="3833" width="11.140625" style="1" bestFit="1" customWidth="1"/>
    <col min="3834" max="3834" width="11" style="1" customWidth="1"/>
    <col min="3835" max="3835" width="10.42578125" style="1" customWidth="1"/>
    <col min="3836" max="3836" width="11.28515625" style="1" customWidth="1"/>
    <col min="3837" max="3838" width="9.140625" style="1" bestFit="1" customWidth="1"/>
    <col min="3839" max="3840" width="11.140625" style="1" bestFit="1" customWidth="1"/>
    <col min="3841" max="3841" width="11.5703125" style="1" bestFit="1" customWidth="1"/>
    <col min="3842" max="3842" width="9.140625" style="1" bestFit="1" customWidth="1"/>
    <col min="3843" max="3843" width="10.28515625" style="1" customWidth="1"/>
    <col min="3844" max="4082" width="9.140625" style="1"/>
    <col min="4083" max="4083" width="4.28515625" style="1" bestFit="1" customWidth="1"/>
    <col min="4084" max="4084" width="6.85546875" style="1" bestFit="1" customWidth="1"/>
    <col min="4085" max="4085" width="11" style="1" customWidth="1"/>
    <col min="4086" max="4086" width="11.140625" style="1" bestFit="1" customWidth="1"/>
    <col min="4087" max="4087" width="10.85546875" style="1" customWidth="1"/>
    <col min="4088" max="4088" width="11.5703125" style="1" customWidth="1"/>
    <col min="4089" max="4089" width="11.140625" style="1" bestFit="1" customWidth="1"/>
    <col min="4090" max="4090" width="11" style="1" customWidth="1"/>
    <col min="4091" max="4091" width="10.42578125" style="1" customWidth="1"/>
    <col min="4092" max="4092" width="11.28515625" style="1" customWidth="1"/>
    <col min="4093" max="4094" width="9.140625" style="1" bestFit="1" customWidth="1"/>
    <col min="4095" max="4096" width="11.140625" style="1" bestFit="1" customWidth="1"/>
    <col min="4097" max="4097" width="11.5703125" style="1" bestFit="1" customWidth="1"/>
    <col min="4098" max="4098" width="9.140625" style="1" bestFit="1" customWidth="1"/>
    <col min="4099" max="4099" width="10.28515625" style="1" customWidth="1"/>
    <col min="4100" max="4338" width="9.140625" style="1"/>
    <col min="4339" max="4339" width="4.28515625" style="1" bestFit="1" customWidth="1"/>
    <col min="4340" max="4340" width="6.85546875" style="1" bestFit="1" customWidth="1"/>
    <col min="4341" max="4341" width="11" style="1" customWidth="1"/>
    <col min="4342" max="4342" width="11.140625" style="1" bestFit="1" customWidth="1"/>
    <col min="4343" max="4343" width="10.85546875" style="1" customWidth="1"/>
    <col min="4344" max="4344" width="11.5703125" style="1" customWidth="1"/>
    <col min="4345" max="4345" width="11.140625" style="1" bestFit="1" customWidth="1"/>
    <col min="4346" max="4346" width="11" style="1" customWidth="1"/>
    <col min="4347" max="4347" width="10.42578125" style="1" customWidth="1"/>
    <col min="4348" max="4348" width="11.28515625" style="1" customWidth="1"/>
    <col min="4349" max="4350" width="9.140625" style="1" bestFit="1" customWidth="1"/>
    <col min="4351" max="4352" width="11.140625" style="1" bestFit="1" customWidth="1"/>
    <col min="4353" max="4353" width="11.5703125" style="1" bestFit="1" customWidth="1"/>
    <col min="4354" max="4354" width="9.140625" style="1" bestFit="1" customWidth="1"/>
    <col min="4355" max="4355" width="10.28515625" style="1" customWidth="1"/>
    <col min="4356" max="4594" width="9.140625" style="1"/>
    <col min="4595" max="4595" width="4.28515625" style="1" bestFit="1" customWidth="1"/>
    <col min="4596" max="4596" width="6.85546875" style="1" bestFit="1" customWidth="1"/>
    <col min="4597" max="4597" width="11" style="1" customWidth="1"/>
    <col min="4598" max="4598" width="11.140625" style="1" bestFit="1" customWidth="1"/>
    <col min="4599" max="4599" width="10.85546875" style="1" customWidth="1"/>
    <col min="4600" max="4600" width="11.5703125" style="1" customWidth="1"/>
    <col min="4601" max="4601" width="11.140625" style="1" bestFit="1" customWidth="1"/>
    <col min="4602" max="4602" width="11" style="1" customWidth="1"/>
    <col min="4603" max="4603" width="10.42578125" style="1" customWidth="1"/>
    <col min="4604" max="4604" width="11.28515625" style="1" customWidth="1"/>
    <col min="4605" max="4606" width="9.140625" style="1" bestFit="1" customWidth="1"/>
    <col min="4607" max="4608" width="11.140625" style="1" bestFit="1" customWidth="1"/>
    <col min="4609" max="4609" width="11.5703125" style="1" bestFit="1" customWidth="1"/>
    <col min="4610" max="4610" width="9.140625" style="1" bestFit="1" customWidth="1"/>
    <col min="4611" max="4611" width="10.28515625" style="1" customWidth="1"/>
    <col min="4612" max="4850" width="9.140625" style="1"/>
    <col min="4851" max="4851" width="4.28515625" style="1" bestFit="1" customWidth="1"/>
    <col min="4852" max="4852" width="6.85546875" style="1" bestFit="1" customWidth="1"/>
    <col min="4853" max="4853" width="11" style="1" customWidth="1"/>
    <col min="4854" max="4854" width="11.140625" style="1" bestFit="1" customWidth="1"/>
    <col min="4855" max="4855" width="10.85546875" style="1" customWidth="1"/>
    <col min="4856" max="4856" width="11.5703125" style="1" customWidth="1"/>
    <col min="4857" max="4857" width="11.140625" style="1" bestFit="1" customWidth="1"/>
    <col min="4858" max="4858" width="11" style="1" customWidth="1"/>
    <col min="4859" max="4859" width="10.42578125" style="1" customWidth="1"/>
    <col min="4860" max="4860" width="11.28515625" style="1" customWidth="1"/>
    <col min="4861" max="4862" width="9.140625" style="1" bestFit="1" customWidth="1"/>
    <col min="4863" max="4864" width="11.140625" style="1" bestFit="1" customWidth="1"/>
    <col min="4865" max="4865" width="11.5703125" style="1" bestFit="1" customWidth="1"/>
    <col min="4866" max="4866" width="9.140625" style="1" bestFit="1" customWidth="1"/>
    <col min="4867" max="4867" width="10.28515625" style="1" customWidth="1"/>
    <col min="4868" max="5106" width="9.140625" style="1"/>
    <col min="5107" max="5107" width="4.28515625" style="1" bestFit="1" customWidth="1"/>
    <col min="5108" max="5108" width="6.85546875" style="1" bestFit="1" customWidth="1"/>
    <col min="5109" max="5109" width="11" style="1" customWidth="1"/>
    <col min="5110" max="5110" width="11.140625" style="1" bestFit="1" customWidth="1"/>
    <col min="5111" max="5111" width="10.85546875" style="1" customWidth="1"/>
    <col min="5112" max="5112" width="11.5703125" style="1" customWidth="1"/>
    <col min="5113" max="5113" width="11.140625" style="1" bestFit="1" customWidth="1"/>
    <col min="5114" max="5114" width="11" style="1" customWidth="1"/>
    <col min="5115" max="5115" width="10.42578125" style="1" customWidth="1"/>
    <col min="5116" max="5116" width="11.28515625" style="1" customWidth="1"/>
    <col min="5117" max="5118" width="9.140625" style="1" bestFit="1" customWidth="1"/>
    <col min="5119" max="5120" width="11.140625" style="1" bestFit="1" customWidth="1"/>
    <col min="5121" max="5121" width="11.5703125" style="1" bestFit="1" customWidth="1"/>
    <col min="5122" max="5122" width="9.140625" style="1" bestFit="1" customWidth="1"/>
    <col min="5123" max="5123" width="10.28515625" style="1" customWidth="1"/>
    <col min="5124" max="5362" width="9.140625" style="1"/>
    <col min="5363" max="5363" width="4.28515625" style="1" bestFit="1" customWidth="1"/>
    <col min="5364" max="5364" width="6.85546875" style="1" bestFit="1" customWidth="1"/>
    <col min="5365" max="5365" width="11" style="1" customWidth="1"/>
    <col min="5366" max="5366" width="11.140625" style="1" bestFit="1" customWidth="1"/>
    <col min="5367" max="5367" width="10.85546875" style="1" customWidth="1"/>
    <col min="5368" max="5368" width="11.5703125" style="1" customWidth="1"/>
    <col min="5369" max="5369" width="11.140625" style="1" bestFit="1" customWidth="1"/>
    <col min="5370" max="5370" width="11" style="1" customWidth="1"/>
    <col min="5371" max="5371" width="10.42578125" style="1" customWidth="1"/>
    <col min="5372" max="5372" width="11.28515625" style="1" customWidth="1"/>
    <col min="5373" max="5374" width="9.140625" style="1" bestFit="1" customWidth="1"/>
    <col min="5375" max="5376" width="11.140625" style="1" bestFit="1" customWidth="1"/>
    <col min="5377" max="5377" width="11.5703125" style="1" bestFit="1" customWidth="1"/>
    <col min="5378" max="5378" width="9.140625" style="1" bestFit="1" customWidth="1"/>
    <col min="5379" max="5379" width="10.28515625" style="1" customWidth="1"/>
    <col min="5380" max="5618" width="9.140625" style="1"/>
    <col min="5619" max="5619" width="4.28515625" style="1" bestFit="1" customWidth="1"/>
    <col min="5620" max="5620" width="6.85546875" style="1" bestFit="1" customWidth="1"/>
    <col min="5621" max="5621" width="11" style="1" customWidth="1"/>
    <col min="5622" max="5622" width="11.140625" style="1" bestFit="1" customWidth="1"/>
    <col min="5623" max="5623" width="10.85546875" style="1" customWidth="1"/>
    <col min="5624" max="5624" width="11.5703125" style="1" customWidth="1"/>
    <col min="5625" max="5625" width="11.140625" style="1" bestFit="1" customWidth="1"/>
    <col min="5626" max="5626" width="11" style="1" customWidth="1"/>
    <col min="5627" max="5627" width="10.42578125" style="1" customWidth="1"/>
    <col min="5628" max="5628" width="11.28515625" style="1" customWidth="1"/>
    <col min="5629" max="5630" width="9.140625" style="1" bestFit="1" customWidth="1"/>
    <col min="5631" max="5632" width="11.140625" style="1" bestFit="1" customWidth="1"/>
    <col min="5633" max="5633" width="11.5703125" style="1" bestFit="1" customWidth="1"/>
    <col min="5634" max="5634" width="9.140625" style="1" bestFit="1" customWidth="1"/>
    <col min="5635" max="5635" width="10.28515625" style="1" customWidth="1"/>
    <col min="5636" max="5874" width="9.140625" style="1"/>
    <col min="5875" max="5875" width="4.28515625" style="1" bestFit="1" customWidth="1"/>
    <col min="5876" max="5876" width="6.85546875" style="1" bestFit="1" customWidth="1"/>
    <col min="5877" max="5877" width="11" style="1" customWidth="1"/>
    <col min="5878" max="5878" width="11.140625" style="1" bestFit="1" customWidth="1"/>
    <col min="5879" max="5879" width="10.85546875" style="1" customWidth="1"/>
    <col min="5880" max="5880" width="11.5703125" style="1" customWidth="1"/>
    <col min="5881" max="5881" width="11.140625" style="1" bestFit="1" customWidth="1"/>
    <col min="5882" max="5882" width="11" style="1" customWidth="1"/>
    <col min="5883" max="5883" width="10.42578125" style="1" customWidth="1"/>
    <col min="5884" max="5884" width="11.28515625" style="1" customWidth="1"/>
    <col min="5885" max="5886" width="9.140625" style="1" bestFit="1" customWidth="1"/>
    <col min="5887" max="5888" width="11.140625" style="1" bestFit="1" customWidth="1"/>
    <col min="5889" max="5889" width="11.5703125" style="1" bestFit="1" customWidth="1"/>
    <col min="5890" max="5890" width="9.140625" style="1" bestFit="1" customWidth="1"/>
    <col min="5891" max="5891" width="10.28515625" style="1" customWidth="1"/>
    <col min="5892" max="6130" width="9.140625" style="1"/>
    <col min="6131" max="6131" width="4.28515625" style="1" bestFit="1" customWidth="1"/>
    <col min="6132" max="6132" width="6.85546875" style="1" bestFit="1" customWidth="1"/>
    <col min="6133" max="6133" width="11" style="1" customWidth="1"/>
    <col min="6134" max="6134" width="11.140625" style="1" bestFit="1" customWidth="1"/>
    <col min="6135" max="6135" width="10.85546875" style="1" customWidth="1"/>
    <col min="6136" max="6136" width="11.5703125" style="1" customWidth="1"/>
    <col min="6137" max="6137" width="11.140625" style="1" bestFit="1" customWidth="1"/>
    <col min="6138" max="6138" width="11" style="1" customWidth="1"/>
    <col min="6139" max="6139" width="10.42578125" style="1" customWidth="1"/>
    <col min="6140" max="6140" width="11.28515625" style="1" customWidth="1"/>
    <col min="6141" max="6142" width="9.140625" style="1" bestFit="1" customWidth="1"/>
    <col min="6143" max="6144" width="11.140625" style="1" bestFit="1" customWidth="1"/>
    <col min="6145" max="6145" width="11.5703125" style="1" bestFit="1" customWidth="1"/>
    <col min="6146" max="6146" width="9.140625" style="1" bestFit="1" customWidth="1"/>
    <col min="6147" max="6147" width="10.28515625" style="1" customWidth="1"/>
    <col min="6148" max="6386" width="9.140625" style="1"/>
    <col min="6387" max="6387" width="4.28515625" style="1" bestFit="1" customWidth="1"/>
    <col min="6388" max="6388" width="6.85546875" style="1" bestFit="1" customWidth="1"/>
    <col min="6389" max="6389" width="11" style="1" customWidth="1"/>
    <col min="6390" max="6390" width="11.140625" style="1" bestFit="1" customWidth="1"/>
    <col min="6391" max="6391" width="10.85546875" style="1" customWidth="1"/>
    <col min="6392" max="6392" width="11.5703125" style="1" customWidth="1"/>
    <col min="6393" max="6393" width="11.140625" style="1" bestFit="1" customWidth="1"/>
    <col min="6394" max="6394" width="11" style="1" customWidth="1"/>
    <col min="6395" max="6395" width="10.42578125" style="1" customWidth="1"/>
    <col min="6396" max="6396" width="11.28515625" style="1" customWidth="1"/>
    <col min="6397" max="6398" width="9.140625" style="1" bestFit="1" customWidth="1"/>
    <col min="6399" max="6400" width="11.140625" style="1" bestFit="1" customWidth="1"/>
    <col min="6401" max="6401" width="11.5703125" style="1" bestFit="1" customWidth="1"/>
    <col min="6402" max="6402" width="9.140625" style="1" bestFit="1" customWidth="1"/>
    <col min="6403" max="6403" width="10.28515625" style="1" customWidth="1"/>
    <col min="6404" max="6642" width="9.140625" style="1"/>
    <col min="6643" max="6643" width="4.28515625" style="1" bestFit="1" customWidth="1"/>
    <col min="6644" max="6644" width="6.85546875" style="1" bestFit="1" customWidth="1"/>
    <col min="6645" max="6645" width="11" style="1" customWidth="1"/>
    <col min="6646" max="6646" width="11.140625" style="1" bestFit="1" customWidth="1"/>
    <col min="6647" max="6647" width="10.85546875" style="1" customWidth="1"/>
    <col min="6648" max="6648" width="11.5703125" style="1" customWidth="1"/>
    <col min="6649" max="6649" width="11.140625" style="1" bestFit="1" customWidth="1"/>
    <col min="6650" max="6650" width="11" style="1" customWidth="1"/>
    <col min="6651" max="6651" width="10.42578125" style="1" customWidth="1"/>
    <col min="6652" max="6652" width="11.28515625" style="1" customWidth="1"/>
    <col min="6653" max="6654" width="9.140625" style="1" bestFit="1" customWidth="1"/>
    <col min="6655" max="6656" width="11.140625" style="1" bestFit="1" customWidth="1"/>
    <col min="6657" max="6657" width="11.5703125" style="1" bestFit="1" customWidth="1"/>
    <col min="6658" max="6658" width="9.140625" style="1" bestFit="1" customWidth="1"/>
    <col min="6659" max="6659" width="10.28515625" style="1" customWidth="1"/>
    <col min="6660" max="6898" width="9.140625" style="1"/>
    <col min="6899" max="6899" width="4.28515625" style="1" bestFit="1" customWidth="1"/>
    <col min="6900" max="6900" width="6.85546875" style="1" bestFit="1" customWidth="1"/>
    <col min="6901" max="6901" width="11" style="1" customWidth="1"/>
    <col min="6902" max="6902" width="11.140625" style="1" bestFit="1" customWidth="1"/>
    <col min="6903" max="6903" width="10.85546875" style="1" customWidth="1"/>
    <col min="6904" max="6904" width="11.5703125" style="1" customWidth="1"/>
    <col min="6905" max="6905" width="11.140625" style="1" bestFit="1" customWidth="1"/>
    <col min="6906" max="6906" width="11" style="1" customWidth="1"/>
    <col min="6907" max="6907" width="10.42578125" style="1" customWidth="1"/>
    <col min="6908" max="6908" width="11.28515625" style="1" customWidth="1"/>
    <col min="6909" max="6910" width="9.140625" style="1" bestFit="1" customWidth="1"/>
    <col min="6911" max="6912" width="11.140625" style="1" bestFit="1" customWidth="1"/>
    <col min="6913" max="6913" width="11.5703125" style="1" bestFit="1" customWidth="1"/>
    <col min="6914" max="6914" width="9.140625" style="1" bestFit="1" customWidth="1"/>
    <col min="6915" max="6915" width="10.28515625" style="1" customWidth="1"/>
    <col min="6916" max="7154" width="9.140625" style="1"/>
    <col min="7155" max="7155" width="4.28515625" style="1" bestFit="1" customWidth="1"/>
    <col min="7156" max="7156" width="6.85546875" style="1" bestFit="1" customWidth="1"/>
    <col min="7157" max="7157" width="11" style="1" customWidth="1"/>
    <col min="7158" max="7158" width="11.140625" style="1" bestFit="1" customWidth="1"/>
    <col min="7159" max="7159" width="10.85546875" style="1" customWidth="1"/>
    <col min="7160" max="7160" width="11.5703125" style="1" customWidth="1"/>
    <col min="7161" max="7161" width="11.140625" style="1" bestFit="1" customWidth="1"/>
    <col min="7162" max="7162" width="11" style="1" customWidth="1"/>
    <col min="7163" max="7163" width="10.42578125" style="1" customWidth="1"/>
    <col min="7164" max="7164" width="11.28515625" style="1" customWidth="1"/>
    <col min="7165" max="7166" width="9.140625" style="1" bestFit="1" customWidth="1"/>
    <col min="7167" max="7168" width="11.140625" style="1" bestFit="1" customWidth="1"/>
    <col min="7169" max="7169" width="11.5703125" style="1" bestFit="1" customWidth="1"/>
    <col min="7170" max="7170" width="9.140625" style="1" bestFit="1" customWidth="1"/>
    <col min="7171" max="7171" width="10.28515625" style="1" customWidth="1"/>
    <col min="7172" max="7410" width="9.140625" style="1"/>
    <col min="7411" max="7411" width="4.28515625" style="1" bestFit="1" customWidth="1"/>
    <col min="7412" max="7412" width="6.85546875" style="1" bestFit="1" customWidth="1"/>
    <col min="7413" max="7413" width="11" style="1" customWidth="1"/>
    <col min="7414" max="7414" width="11.140625" style="1" bestFit="1" customWidth="1"/>
    <col min="7415" max="7415" width="10.85546875" style="1" customWidth="1"/>
    <col min="7416" max="7416" width="11.5703125" style="1" customWidth="1"/>
    <col min="7417" max="7417" width="11.140625" style="1" bestFit="1" customWidth="1"/>
    <col min="7418" max="7418" width="11" style="1" customWidth="1"/>
    <col min="7419" max="7419" width="10.42578125" style="1" customWidth="1"/>
    <col min="7420" max="7420" width="11.28515625" style="1" customWidth="1"/>
    <col min="7421" max="7422" width="9.140625" style="1" bestFit="1" customWidth="1"/>
    <col min="7423" max="7424" width="11.140625" style="1" bestFit="1" customWidth="1"/>
    <col min="7425" max="7425" width="11.5703125" style="1" bestFit="1" customWidth="1"/>
    <col min="7426" max="7426" width="9.140625" style="1" bestFit="1" customWidth="1"/>
    <col min="7427" max="7427" width="10.28515625" style="1" customWidth="1"/>
    <col min="7428" max="7666" width="9.140625" style="1"/>
    <col min="7667" max="7667" width="4.28515625" style="1" bestFit="1" customWidth="1"/>
    <col min="7668" max="7668" width="6.85546875" style="1" bestFit="1" customWidth="1"/>
    <col min="7669" max="7669" width="11" style="1" customWidth="1"/>
    <col min="7670" max="7670" width="11.140625" style="1" bestFit="1" customWidth="1"/>
    <col min="7671" max="7671" width="10.85546875" style="1" customWidth="1"/>
    <col min="7672" max="7672" width="11.5703125" style="1" customWidth="1"/>
    <col min="7673" max="7673" width="11.140625" style="1" bestFit="1" customWidth="1"/>
    <col min="7674" max="7674" width="11" style="1" customWidth="1"/>
    <col min="7675" max="7675" width="10.42578125" style="1" customWidth="1"/>
    <col min="7676" max="7676" width="11.28515625" style="1" customWidth="1"/>
    <col min="7677" max="7678" width="9.140625" style="1" bestFit="1" customWidth="1"/>
    <col min="7679" max="7680" width="11.140625" style="1" bestFit="1" customWidth="1"/>
    <col min="7681" max="7681" width="11.5703125" style="1" bestFit="1" customWidth="1"/>
    <col min="7682" max="7682" width="9.140625" style="1" bestFit="1" customWidth="1"/>
    <col min="7683" max="7683" width="10.28515625" style="1" customWidth="1"/>
    <col min="7684" max="7922" width="9.140625" style="1"/>
    <col min="7923" max="7923" width="4.28515625" style="1" bestFit="1" customWidth="1"/>
    <col min="7924" max="7924" width="6.85546875" style="1" bestFit="1" customWidth="1"/>
    <col min="7925" max="7925" width="11" style="1" customWidth="1"/>
    <col min="7926" max="7926" width="11.140625" style="1" bestFit="1" customWidth="1"/>
    <col min="7927" max="7927" width="10.85546875" style="1" customWidth="1"/>
    <col min="7928" max="7928" width="11.5703125" style="1" customWidth="1"/>
    <col min="7929" max="7929" width="11.140625" style="1" bestFit="1" customWidth="1"/>
    <col min="7930" max="7930" width="11" style="1" customWidth="1"/>
    <col min="7931" max="7931" width="10.42578125" style="1" customWidth="1"/>
    <col min="7932" max="7932" width="11.28515625" style="1" customWidth="1"/>
    <col min="7933" max="7934" width="9.140625" style="1" bestFit="1" customWidth="1"/>
    <col min="7935" max="7936" width="11.140625" style="1" bestFit="1" customWidth="1"/>
    <col min="7937" max="7937" width="11.5703125" style="1" bestFit="1" customWidth="1"/>
    <col min="7938" max="7938" width="9.140625" style="1" bestFit="1" customWidth="1"/>
    <col min="7939" max="7939" width="10.28515625" style="1" customWidth="1"/>
    <col min="7940" max="8178" width="9.140625" style="1"/>
    <col min="8179" max="8179" width="4.28515625" style="1" bestFit="1" customWidth="1"/>
    <col min="8180" max="8180" width="6.85546875" style="1" bestFit="1" customWidth="1"/>
    <col min="8181" max="8181" width="11" style="1" customWidth="1"/>
    <col min="8182" max="8182" width="11.140625" style="1" bestFit="1" customWidth="1"/>
    <col min="8183" max="8183" width="10.85546875" style="1" customWidth="1"/>
    <col min="8184" max="8184" width="11.5703125" style="1" customWidth="1"/>
    <col min="8185" max="8185" width="11.140625" style="1" bestFit="1" customWidth="1"/>
    <col min="8186" max="8186" width="11" style="1" customWidth="1"/>
    <col min="8187" max="8187" width="10.42578125" style="1" customWidth="1"/>
    <col min="8188" max="8188" width="11.28515625" style="1" customWidth="1"/>
    <col min="8189" max="8190" width="9.140625" style="1" bestFit="1" customWidth="1"/>
    <col min="8191" max="8192" width="11.140625" style="1" bestFit="1" customWidth="1"/>
    <col min="8193" max="8193" width="11.5703125" style="1" bestFit="1" customWidth="1"/>
    <col min="8194" max="8194" width="9.140625" style="1" bestFit="1" customWidth="1"/>
    <col min="8195" max="8195" width="10.28515625" style="1" customWidth="1"/>
    <col min="8196" max="8434" width="9.140625" style="1"/>
    <col min="8435" max="8435" width="4.28515625" style="1" bestFit="1" customWidth="1"/>
    <col min="8436" max="8436" width="6.85546875" style="1" bestFit="1" customWidth="1"/>
    <col min="8437" max="8437" width="11" style="1" customWidth="1"/>
    <col min="8438" max="8438" width="11.140625" style="1" bestFit="1" customWidth="1"/>
    <col min="8439" max="8439" width="10.85546875" style="1" customWidth="1"/>
    <col min="8440" max="8440" width="11.5703125" style="1" customWidth="1"/>
    <col min="8441" max="8441" width="11.140625" style="1" bestFit="1" customWidth="1"/>
    <col min="8442" max="8442" width="11" style="1" customWidth="1"/>
    <col min="8443" max="8443" width="10.42578125" style="1" customWidth="1"/>
    <col min="8444" max="8444" width="11.28515625" style="1" customWidth="1"/>
    <col min="8445" max="8446" width="9.140625" style="1" bestFit="1" customWidth="1"/>
    <col min="8447" max="8448" width="11.140625" style="1" bestFit="1" customWidth="1"/>
    <col min="8449" max="8449" width="11.5703125" style="1" bestFit="1" customWidth="1"/>
    <col min="8450" max="8450" width="9.140625" style="1" bestFit="1" customWidth="1"/>
    <col min="8451" max="8451" width="10.28515625" style="1" customWidth="1"/>
    <col min="8452" max="8690" width="9.140625" style="1"/>
    <col min="8691" max="8691" width="4.28515625" style="1" bestFit="1" customWidth="1"/>
    <col min="8692" max="8692" width="6.85546875" style="1" bestFit="1" customWidth="1"/>
    <col min="8693" max="8693" width="11" style="1" customWidth="1"/>
    <col min="8694" max="8694" width="11.140625" style="1" bestFit="1" customWidth="1"/>
    <col min="8695" max="8695" width="10.85546875" style="1" customWidth="1"/>
    <col min="8696" max="8696" width="11.5703125" style="1" customWidth="1"/>
    <col min="8697" max="8697" width="11.140625" style="1" bestFit="1" customWidth="1"/>
    <col min="8698" max="8698" width="11" style="1" customWidth="1"/>
    <col min="8699" max="8699" width="10.42578125" style="1" customWidth="1"/>
    <col min="8700" max="8700" width="11.28515625" style="1" customWidth="1"/>
    <col min="8701" max="8702" width="9.140625" style="1" bestFit="1" customWidth="1"/>
    <col min="8703" max="8704" width="11.140625" style="1" bestFit="1" customWidth="1"/>
    <col min="8705" max="8705" width="11.5703125" style="1" bestFit="1" customWidth="1"/>
    <col min="8706" max="8706" width="9.140625" style="1" bestFit="1" customWidth="1"/>
    <col min="8707" max="8707" width="10.28515625" style="1" customWidth="1"/>
    <col min="8708" max="8946" width="9.140625" style="1"/>
    <col min="8947" max="8947" width="4.28515625" style="1" bestFit="1" customWidth="1"/>
    <col min="8948" max="8948" width="6.85546875" style="1" bestFit="1" customWidth="1"/>
    <col min="8949" max="8949" width="11" style="1" customWidth="1"/>
    <col min="8950" max="8950" width="11.140625" style="1" bestFit="1" customWidth="1"/>
    <col min="8951" max="8951" width="10.85546875" style="1" customWidth="1"/>
    <col min="8952" max="8952" width="11.5703125" style="1" customWidth="1"/>
    <col min="8953" max="8953" width="11.140625" style="1" bestFit="1" customWidth="1"/>
    <col min="8954" max="8954" width="11" style="1" customWidth="1"/>
    <col min="8955" max="8955" width="10.42578125" style="1" customWidth="1"/>
    <col min="8956" max="8956" width="11.28515625" style="1" customWidth="1"/>
    <col min="8957" max="8958" width="9.140625" style="1" bestFit="1" customWidth="1"/>
    <col min="8959" max="8960" width="11.140625" style="1" bestFit="1" customWidth="1"/>
    <col min="8961" max="8961" width="11.5703125" style="1" bestFit="1" customWidth="1"/>
    <col min="8962" max="8962" width="9.140625" style="1" bestFit="1" customWidth="1"/>
    <col min="8963" max="8963" width="10.28515625" style="1" customWidth="1"/>
    <col min="8964" max="9202" width="9.140625" style="1"/>
    <col min="9203" max="9203" width="4.28515625" style="1" bestFit="1" customWidth="1"/>
    <col min="9204" max="9204" width="6.85546875" style="1" bestFit="1" customWidth="1"/>
    <col min="9205" max="9205" width="11" style="1" customWidth="1"/>
    <col min="9206" max="9206" width="11.140625" style="1" bestFit="1" customWidth="1"/>
    <col min="9207" max="9207" width="10.85546875" style="1" customWidth="1"/>
    <col min="9208" max="9208" width="11.5703125" style="1" customWidth="1"/>
    <col min="9209" max="9209" width="11.140625" style="1" bestFit="1" customWidth="1"/>
    <col min="9210" max="9210" width="11" style="1" customWidth="1"/>
    <col min="9211" max="9211" width="10.42578125" style="1" customWidth="1"/>
    <col min="9212" max="9212" width="11.28515625" style="1" customWidth="1"/>
    <col min="9213" max="9214" width="9.140625" style="1" bestFit="1" customWidth="1"/>
    <col min="9215" max="9216" width="11.140625" style="1" bestFit="1" customWidth="1"/>
    <col min="9217" max="9217" width="11.5703125" style="1" bestFit="1" customWidth="1"/>
    <col min="9218" max="9218" width="9.140625" style="1" bestFit="1" customWidth="1"/>
    <col min="9219" max="9219" width="10.28515625" style="1" customWidth="1"/>
    <col min="9220" max="9458" width="9.140625" style="1"/>
    <col min="9459" max="9459" width="4.28515625" style="1" bestFit="1" customWidth="1"/>
    <col min="9460" max="9460" width="6.85546875" style="1" bestFit="1" customWidth="1"/>
    <col min="9461" max="9461" width="11" style="1" customWidth="1"/>
    <col min="9462" max="9462" width="11.140625" style="1" bestFit="1" customWidth="1"/>
    <col min="9463" max="9463" width="10.85546875" style="1" customWidth="1"/>
    <col min="9464" max="9464" width="11.5703125" style="1" customWidth="1"/>
    <col min="9465" max="9465" width="11.140625" style="1" bestFit="1" customWidth="1"/>
    <col min="9466" max="9466" width="11" style="1" customWidth="1"/>
    <col min="9467" max="9467" width="10.42578125" style="1" customWidth="1"/>
    <col min="9468" max="9468" width="11.28515625" style="1" customWidth="1"/>
    <col min="9469" max="9470" width="9.140625" style="1" bestFit="1" customWidth="1"/>
    <col min="9471" max="9472" width="11.140625" style="1" bestFit="1" customWidth="1"/>
    <col min="9473" max="9473" width="11.5703125" style="1" bestFit="1" customWidth="1"/>
    <col min="9474" max="9474" width="9.140625" style="1" bestFit="1" customWidth="1"/>
    <col min="9475" max="9475" width="10.28515625" style="1" customWidth="1"/>
    <col min="9476" max="9714" width="9.140625" style="1"/>
    <col min="9715" max="9715" width="4.28515625" style="1" bestFit="1" customWidth="1"/>
    <col min="9716" max="9716" width="6.85546875" style="1" bestFit="1" customWidth="1"/>
    <col min="9717" max="9717" width="11" style="1" customWidth="1"/>
    <col min="9718" max="9718" width="11.140625" style="1" bestFit="1" customWidth="1"/>
    <col min="9719" max="9719" width="10.85546875" style="1" customWidth="1"/>
    <col min="9720" max="9720" width="11.5703125" style="1" customWidth="1"/>
    <col min="9721" max="9721" width="11.140625" style="1" bestFit="1" customWidth="1"/>
    <col min="9722" max="9722" width="11" style="1" customWidth="1"/>
    <col min="9723" max="9723" width="10.42578125" style="1" customWidth="1"/>
    <col min="9724" max="9724" width="11.28515625" style="1" customWidth="1"/>
    <col min="9725" max="9726" width="9.140625" style="1" bestFit="1" customWidth="1"/>
    <col min="9727" max="9728" width="11.140625" style="1" bestFit="1" customWidth="1"/>
    <col min="9729" max="9729" width="11.5703125" style="1" bestFit="1" customWidth="1"/>
    <col min="9730" max="9730" width="9.140625" style="1" bestFit="1" customWidth="1"/>
    <col min="9731" max="9731" width="10.28515625" style="1" customWidth="1"/>
    <col min="9732" max="9970" width="9.140625" style="1"/>
    <col min="9971" max="9971" width="4.28515625" style="1" bestFit="1" customWidth="1"/>
    <col min="9972" max="9972" width="6.85546875" style="1" bestFit="1" customWidth="1"/>
    <col min="9973" max="9973" width="11" style="1" customWidth="1"/>
    <col min="9974" max="9974" width="11.140625" style="1" bestFit="1" customWidth="1"/>
    <col min="9975" max="9975" width="10.85546875" style="1" customWidth="1"/>
    <col min="9976" max="9976" width="11.5703125" style="1" customWidth="1"/>
    <col min="9977" max="9977" width="11.140625" style="1" bestFit="1" customWidth="1"/>
    <col min="9978" max="9978" width="11" style="1" customWidth="1"/>
    <col min="9979" max="9979" width="10.42578125" style="1" customWidth="1"/>
    <col min="9980" max="9980" width="11.28515625" style="1" customWidth="1"/>
    <col min="9981" max="9982" width="9.140625" style="1" bestFit="1" customWidth="1"/>
    <col min="9983" max="9984" width="11.140625" style="1" bestFit="1" customWidth="1"/>
    <col min="9985" max="9985" width="11.5703125" style="1" bestFit="1" customWidth="1"/>
    <col min="9986" max="9986" width="9.140625" style="1" bestFit="1" customWidth="1"/>
    <col min="9987" max="9987" width="10.28515625" style="1" customWidth="1"/>
    <col min="9988" max="10226" width="9.140625" style="1"/>
    <col min="10227" max="10227" width="4.28515625" style="1" bestFit="1" customWidth="1"/>
    <col min="10228" max="10228" width="6.85546875" style="1" bestFit="1" customWidth="1"/>
    <col min="10229" max="10229" width="11" style="1" customWidth="1"/>
    <col min="10230" max="10230" width="11.140625" style="1" bestFit="1" customWidth="1"/>
    <col min="10231" max="10231" width="10.85546875" style="1" customWidth="1"/>
    <col min="10232" max="10232" width="11.5703125" style="1" customWidth="1"/>
    <col min="10233" max="10233" width="11.140625" style="1" bestFit="1" customWidth="1"/>
    <col min="10234" max="10234" width="11" style="1" customWidth="1"/>
    <col min="10235" max="10235" width="10.42578125" style="1" customWidth="1"/>
    <col min="10236" max="10236" width="11.28515625" style="1" customWidth="1"/>
    <col min="10237" max="10238" width="9.140625" style="1" bestFit="1" customWidth="1"/>
    <col min="10239" max="10240" width="11.140625" style="1" bestFit="1" customWidth="1"/>
    <col min="10241" max="10241" width="11.5703125" style="1" bestFit="1" customWidth="1"/>
    <col min="10242" max="10242" width="9.140625" style="1" bestFit="1" customWidth="1"/>
    <col min="10243" max="10243" width="10.28515625" style="1" customWidth="1"/>
    <col min="10244" max="10482" width="9.140625" style="1"/>
    <col min="10483" max="10483" width="4.28515625" style="1" bestFit="1" customWidth="1"/>
    <col min="10484" max="10484" width="6.85546875" style="1" bestFit="1" customWidth="1"/>
    <col min="10485" max="10485" width="11" style="1" customWidth="1"/>
    <col min="10486" max="10486" width="11.140625" style="1" bestFit="1" customWidth="1"/>
    <col min="10487" max="10487" width="10.85546875" style="1" customWidth="1"/>
    <col min="10488" max="10488" width="11.5703125" style="1" customWidth="1"/>
    <col min="10489" max="10489" width="11.140625" style="1" bestFit="1" customWidth="1"/>
    <col min="10490" max="10490" width="11" style="1" customWidth="1"/>
    <col min="10491" max="10491" width="10.42578125" style="1" customWidth="1"/>
    <col min="10492" max="10492" width="11.28515625" style="1" customWidth="1"/>
    <col min="10493" max="10494" width="9.140625" style="1" bestFit="1" customWidth="1"/>
    <col min="10495" max="10496" width="11.140625" style="1" bestFit="1" customWidth="1"/>
    <col min="10497" max="10497" width="11.5703125" style="1" bestFit="1" customWidth="1"/>
    <col min="10498" max="10498" width="9.140625" style="1" bestFit="1" customWidth="1"/>
    <col min="10499" max="10499" width="10.28515625" style="1" customWidth="1"/>
    <col min="10500" max="10738" width="9.140625" style="1"/>
    <col min="10739" max="10739" width="4.28515625" style="1" bestFit="1" customWidth="1"/>
    <col min="10740" max="10740" width="6.85546875" style="1" bestFit="1" customWidth="1"/>
    <col min="10741" max="10741" width="11" style="1" customWidth="1"/>
    <col min="10742" max="10742" width="11.140625" style="1" bestFit="1" customWidth="1"/>
    <col min="10743" max="10743" width="10.85546875" style="1" customWidth="1"/>
    <col min="10744" max="10744" width="11.5703125" style="1" customWidth="1"/>
    <col min="10745" max="10745" width="11.140625" style="1" bestFit="1" customWidth="1"/>
    <col min="10746" max="10746" width="11" style="1" customWidth="1"/>
    <col min="10747" max="10747" width="10.42578125" style="1" customWidth="1"/>
    <col min="10748" max="10748" width="11.28515625" style="1" customWidth="1"/>
    <col min="10749" max="10750" width="9.140625" style="1" bestFit="1" customWidth="1"/>
    <col min="10751" max="10752" width="11.140625" style="1" bestFit="1" customWidth="1"/>
    <col min="10753" max="10753" width="11.5703125" style="1" bestFit="1" customWidth="1"/>
    <col min="10754" max="10754" width="9.140625" style="1" bestFit="1" customWidth="1"/>
    <col min="10755" max="10755" width="10.28515625" style="1" customWidth="1"/>
    <col min="10756" max="10994" width="9.140625" style="1"/>
    <col min="10995" max="10995" width="4.28515625" style="1" bestFit="1" customWidth="1"/>
    <col min="10996" max="10996" width="6.85546875" style="1" bestFit="1" customWidth="1"/>
    <col min="10997" max="10997" width="11" style="1" customWidth="1"/>
    <col min="10998" max="10998" width="11.140625" style="1" bestFit="1" customWidth="1"/>
    <col min="10999" max="10999" width="10.85546875" style="1" customWidth="1"/>
    <col min="11000" max="11000" width="11.5703125" style="1" customWidth="1"/>
    <col min="11001" max="11001" width="11.140625" style="1" bestFit="1" customWidth="1"/>
    <col min="11002" max="11002" width="11" style="1" customWidth="1"/>
    <col min="11003" max="11003" width="10.42578125" style="1" customWidth="1"/>
    <col min="11004" max="11004" width="11.28515625" style="1" customWidth="1"/>
    <col min="11005" max="11006" width="9.140625" style="1" bestFit="1" customWidth="1"/>
    <col min="11007" max="11008" width="11.140625" style="1" bestFit="1" customWidth="1"/>
    <col min="11009" max="11009" width="11.5703125" style="1" bestFit="1" customWidth="1"/>
    <col min="11010" max="11010" width="9.140625" style="1" bestFit="1" customWidth="1"/>
    <col min="11011" max="11011" width="10.28515625" style="1" customWidth="1"/>
    <col min="11012" max="11250" width="9.140625" style="1"/>
    <col min="11251" max="11251" width="4.28515625" style="1" bestFit="1" customWidth="1"/>
    <col min="11252" max="11252" width="6.85546875" style="1" bestFit="1" customWidth="1"/>
    <col min="11253" max="11253" width="11" style="1" customWidth="1"/>
    <col min="11254" max="11254" width="11.140625" style="1" bestFit="1" customWidth="1"/>
    <col min="11255" max="11255" width="10.85546875" style="1" customWidth="1"/>
    <col min="11256" max="11256" width="11.5703125" style="1" customWidth="1"/>
    <col min="11257" max="11257" width="11.140625" style="1" bestFit="1" customWidth="1"/>
    <col min="11258" max="11258" width="11" style="1" customWidth="1"/>
    <col min="11259" max="11259" width="10.42578125" style="1" customWidth="1"/>
    <col min="11260" max="11260" width="11.28515625" style="1" customWidth="1"/>
    <col min="11261" max="11262" width="9.140625" style="1" bestFit="1" customWidth="1"/>
    <col min="11263" max="11264" width="11.140625" style="1" bestFit="1" customWidth="1"/>
    <col min="11265" max="11265" width="11.5703125" style="1" bestFit="1" customWidth="1"/>
    <col min="11266" max="11266" width="9.140625" style="1" bestFit="1" customWidth="1"/>
    <col min="11267" max="11267" width="10.28515625" style="1" customWidth="1"/>
    <col min="11268" max="11506" width="9.140625" style="1"/>
    <col min="11507" max="11507" width="4.28515625" style="1" bestFit="1" customWidth="1"/>
    <col min="11508" max="11508" width="6.85546875" style="1" bestFit="1" customWidth="1"/>
    <col min="11509" max="11509" width="11" style="1" customWidth="1"/>
    <col min="11510" max="11510" width="11.140625" style="1" bestFit="1" customWidth="1"/>
    <col min="11511" max="11511" width="10.85546875" style="1" customWidth="1"/>
    <col min="11512" max="11512" width="11.5703125" style="1" customWidth="1"/>
    <col min="11513" max="11513" width="11.140625" style="1" bestFit="1" customWidth="1"/>
    <col min="11514" max="11514" width="11" style="1" customWidth="1"/>
    <col min="11515" max="11515" width="10.42578125" style="1" customWidth="1"/>
    <col min="11516" max="11516" width="11.28515625" style="1" customWidth="1"/>
    <col min="11517" max="11518" width="9.140625" style="1" bestFit="1" customWidth="1"/>
    <col min="11519" max="11520" width="11.140625" style="1" bestFit="1" customWidth="1"/>
    <col min="11521" max="11521" width="11.5703125" style="1" bestFit="1" customWidth="1"/>
    <col min="11522" max="11522" width="9.140625" style="1" bestFit="1" customWidth="1"/>
    <col min="11523" max="11523" width="10.28515625" style="1" customWidth="1"/>
    <col min="11524" max="11762" width="9.140625" style="1"/>
    <col min="11763" max="11763" width="4.28515625" style="1" bestFit="1" customWidth="1"/>
    <col min="11764" max="11764" width="6.85546875" style="1" bestFit="1" customWidth="1"/>
    <col min="11765" max="11765" width="11" style="1" customWidth="1"/>
    <col min="11766" max="11766" width="11.140625" style="1" bestFit="1" customWidth="1"/>
    <col min="11767" max="11767" width="10.85546875" style="1" customWidth="1"/>
    <col min="11768" max="11768" width="11.5703125" style="1" customWidth="1"/>
    <col min="11769" max="11769" width="11.140625" style="1" bestFit="1" customWidth="1"/>
    <col min="11770" max="11770" width="11" style="1" customWidth="1"/>
    <col min="11771" max="11771" width="10.42578125" style="1" customWidth="1"/>
    <col min="11772" max="11772" width="11.28515625" style="1" customWidth="1"/>
    <col min="11773" max="11774" width="9.140625" style="1" bestFit="1" customWidth="1"/>
    <col min="11775" max="11776" width="11.140625" style="1" bestFit="1" customWidth="1"/>
    <col min="11777" max="11777" width="11.5703125" style="1" bestFit="1" customWidth="1"/>
    <col min="11778" max="11778" width="9.140625" style="1" bestFit="1" customWidth="1"/>
    <col min="11779" max="11779" width="10.28515625" style="1" customWidth="1"/>
    <col min="11780" max="12018" width="9.140625" style="1"/>
    <col min="12019" max="12019" width="4.28515625" style="1" bestFit="1" customWidth="1"/>
    <col min="12020" max="12020" width="6.85546875" style="1" bestFit="1" customWidth="1"/>
    <col min="12021" max="12021" width="11" style="1" customWidth="1"/>
    <col min="12022" max="12022" width="11.140625" style="1" bestFit="1" customWidth="1"/>
    <col min="12023" max="12023" width="10.85546875" style="1" customWidth="1"/>
    <col min="12024" max="12024" width="11.5703125" style="1" customWidth="1"/>
    <col min="12025" max="12025" width="11.140625" style="1" bestFit="1" customWidth="1"/>
    <col min="12026" max="12026" width="11" style="1" customWidth="1"/>
    <col min="12027" max="12027" width="10.42578125" style="1" customWidth="1"/>
    <col min="12028" max="12028" width="11.28515625" style="1" customWidth="1"/>
    <col min="12029" max="12030" width="9.140625" style="1" bestFit="1" customWidth="1"/>
    <col min="12031" max="12032" width="11.140625" style="1" bestFit="1" customWidth="1"/>
    <col min="12033" max="12033" width="11.5703125" style="1" bestFit="1" customWidth="1"/>
    <col min="12034" max="12034" width="9.140625" style="1" bestFit="1" customWidth="1"/>
    <col min="12035" max="12035" width="10.28515625" style="1" customWidth="1"/>
    <col min="12036" max="12274" width="9.140625" style="1"/>
    <col min="12275" max="12275" width="4.28515625" style="1" bestFit="1" customWidth="1"/>
    <col min="12276" max="12276" width="6.85546875" style="1" bestFit="1" customWidth="1"/>
    <col min="12277" max="12277" width="11" style="1" customWidth="1"/>
    <col min="12278" max="12278" width="11.140625" style="1" bestFit="1" customWidth="1"/>
    <col min="12279" max="12279" width="10.85546875" style="1" customWidth="1"/>
    <col min="12280" max="12280" width="11.5703125" style="1" customWidth="1"/>
    <col min="12281" max="12281" width="11.140625" style="1" bestFit="1" customWidth="1"/>
    <col min="12282" max="12282" width="11" style="1" customWidth="1"/>
    <col min="12283" max="12283" width="10.42578125" style="1" customWidth="1"/>
    <col min="12284" max="12284" width="11.28515625" style="1" customWidth="1"/>
    <col min="12285" max="12286" width="9.140625" style="1" bestFit="1" customWidth="1"/>
    <col min="12287" max="12288" width="11.140625" style="1" bestFit="1" customWidth="1"/>
    <col min="12289" max="12289" width="11.5703125" style="1" bestFit="1" customWidth="1"/>
    <col min="12290" max="12290" width="9.140625" style="1" bestFit="1" customWidth="1"/>
    <col min="12291" max="12291" width="10.28515625" style="1" customWidth="1"/>
    <col min="12292" max="12530" width="9.140625" style="1"/>
    <col min="12531" max="12531" width="4.28515625" style="1" bestFit="1" customWidth="1"/>
    <col min="12532" max="12532" width="6.85546875" style="1" bestFit="1" customWidth="1"/>
    <col min="12533" max="12533" width="11" style="1" customWidth="1"/>
    <col min="12534" max="12534" width="11.140625" style="1" bestFit="1" customWidth="1"/>
    <col min="12535" max="12535" width="10.85546875" style="1" customWidth="1"/>
    <col min="12536" max="12536" width="11.5703125" style="1" customWidth="1"/>
    <col min="12537" max="12537" width="11.140625" style="1" bestFit="1" customWidth="1"/>
    <col min="12538" max="12538" width="11" style="1" customWidth="1"/>
    <col min="12539" max="12539" width="10.42578125" style="1" customWidth="1"/>
    <col min="12540" max="12540" width="11.28515625" style="1" customWidth="1"/>
    <col min="12541" max="12542" width="9.140625" style="1" bestFit="1" customWidth="1"/>
    <col min="12543" max="12544" width="11.140625" style="1" bestFit="1" customWidth="1"/>
    <col min="12545" max="12545" width="11.5703125" style="1" bestFit="1" customWidth="1"/>
    <col min="12546" max="12546" width="9.140625" style="1" bestFit="1" customWidth="1"/>
    <col min="12547" max="12547" width="10.28515625" style="1" customWidth="1"/>
    <col min="12548" max="12786" width="9.140625" style="1"/>
    <col min="12787" max="12787" width="4.28515625" style="1" bestFit="1" customWidth="1"/>
    <col min="12788" max="12788" width="6.85546875" style="1" bestFit="1" customWidth="1"/>
    <col min="12789" max="12789" width="11" style="1" customWidth="1"/>
    <col min="12790" max="12790" width="11.140625" style="1" bestFit="1" customWidth="1"/>
    <col min="12791" max="12791" width="10.85546875" style="1" customWidth="1"/>
    <col min="12792" max="12792" width="11.5703125" style="1" customWidth="1"/>
    <col min="12793" max="12793" width="11.140625" style="1" bestFit="1" customWidth="1"/>
    <col min="12794" max="12794" width="11" style="1" customWidth="1"/>
    <col min="12795" max="12795" width="10.42578125" style="1" customWidth="1"/>
    <col min="12796" max="12796" width="11.28515625" style="1" customWidth="1"/>
    <col min="12797" max="12798" width="9.140625" style="1" bestFit="1" customWidth="1"/>
    <col min="12799" max="12800" width="11.140625" style="1" bestFit="1" customWidth="1"/>
    <col min="12801" max="12801" width="11.5703125" style="1" bestFit="1" customWidth="1"/>
    <col min="12802" max="12802" width="9.140625" style="1" bestFit="1" customWidth="1"/>
    <col min="12803" max="12803" width="10.28515625" style="1" customWidth="1"/>
    <col min="12804" max="13042" width="9.140625" style="1"/>
    <col min="13043" max="13043" width="4.28515625" style="1" bestFit="1" customWidth="1"/>
    <col min="13044" max="13044" width="6.85546875" style="1" bestFit="1" customWidth="1"/>
    <col min="13045" max="13045" width="11" style="1" customWidth="1"/>
    <col min="13046" max="13046" width="11.140625" style="1" bestFit="1" customWidth="1"/>
    <col min="13047" max="13047" width="10.85546875" style="1" customWidth="1"/>
    <col min="13048" max="13048" width="11.5703125" style="1" customWidth="1"/>
    <col min="13049" max="13049" width="11.140625" style="1" bestFit="1" customWidth="1"/>
    <col min="13050" max="13050" width="11" style="1" customWidth="1"/>
    <col min="13051" max="13051" width="10.42578125" style="1" customWidth="1"/>
    <col min="13052" max="13052" width="11.28515625" style="1" customWidth="1"/>
    <col min="13053" max="13054" width="9.140625" style="1" bestFit="1" customWidth="1"/>
    <col min="13055" max="13056" width="11.140625" style="1" bestFit="1" customWidth="1"/>
    <col min="13057" max="13057" width="11.5703125" style="1" bestFit="1" customWidth="1"/>
    <col min="13058" max="13058" width="9.140625" style="1" bestFit="1" customWidth="1"/>
    <col min="13059" max="13059" width="10.28515625" style="1" customWidth="1"/>
    <col min="13060" max="13298" width="9.140625" style="1"/>
    <col min="13299" max="13299" width="4.28515625" style="1" bestFit="1" customWidth="1"/>
    <col min="13300" max="13300" width="6.85546875" style="1" bestFit="1" customWidth="1"/>
    <col min="13301" max="13301" width="11" style="1" customWidth="1"/>
    <col min="13302" max="13302" width="11.140625" style="1" bestFit="1" customWidth="1"/>
    <col min="13303" max="13303" width="10.85546875" style="1" customWidth="1"/>
    <col min="13304" max="13304" width="11.5703125" style="1" customWidth="1"/>
    <col min="13305" max="13305" width="11.140625" style="1" bestFit="1" customWidth="1"/>
    <col min="13306" max="13306" width="11" style="1" customWidth="1"/>
    <col min="13307" max="13307" width="10.42578125" style="1" customWidth="1"/>
    <col min="13308" max="13308" width="11.28515625" style="1" customWidth="1"/>
    <col min="13309" max="13310" width="9.140625" style="1" bestFit="1" customWidth="1"/>
    <col min="13311" max="13312" width="11.140625" style="1" bestFit="1" customWidth="1"/>
    <col min="13313" max="13313" width="11.5703125" style="1" bestFit="1" customWidth="1"/>
    <col min="13314" max="13314" width="9.140625" style="1" bestFit="1" customWidth="1"/>
    <col min="13315" max="13315" width="10.28515625" style="1" customWidth="1"/>
    <col min="13316" max="13554" width="9.140625" style="1"/>
    <col min="13555" max="13555" width="4.28515625" style="1" bestFit="1" customWidth="1"/>
    <col min="13556" max="13556" width="6.85546875" style="1" bestFit="1" customWidth="1"/>
    <col min="13557" max="13557" width="11" style="1" customWidth="1"/>
    <col min="13558" max="13558" width="11.140625" style="1" bestFit="1" customWidth="1"/>
    <col min="13559" max="13559" width="10.85546875" style="1" customWidth="1"/>
    <col min="13560" max="13560" width="11.5703125" style="1" customWidth="1"/>
    <col min="13561" max="13561" width="11.140625" style="1" bestFit="1" customWidth="1"/>
    <col min="13562" max="13562" width="11" style="1" customWidth="1"/>
    <col min="13563" max="13563" width="10.42578125" style="1" customWidth="1"/>
    <col min="13564" max="13564" width="11.28515625" style="1" customWidth="1"/>
    <col min="13565" max="13566" width="9.140625" style="1" bestFit="1" customWidth="1"/>
    <col min="13567" max="13568" width="11.140625" style="1" bestFit="1" customWidth="1"/>
    <col min="13569" max="13569" width="11.5703125" style="1" bestFit="1" customWidth="1"/>
    <col min="13570" max="13570" width="9.140625" style="1" bestFit="1" customWidth="1"/>
    <col min="13571" max="13571" width="10.28515625" style="1" customWidth="1"/>
    <col min="13572" max="13810" width="9.140625" style="1"/>
    <col min="13811" max="13811" width="4.28515625" style="1" bestFit="1" customWidth="1"/>
    <col min="13812" max="13812" width="6.85546875" style="1" bestFit="1" customWidth="1"/>
    <col min="13813" max="13813" width="11" style="1" customWidth="1"/>
    <col min="13814" max="13814" width="11.140625" style="1" bestFit="1" customWidth="1"/>
    <col min="13815" max="13815" width="10.85546875" style="1" customWidth="1"/>
    <col min="13816" max="13816" width="11.5703125" style="1" customWidth="1"/>
    <col min="13817" max="13817" width="11.140625" style="1" bestFit="1" customWidth="1"/>
    <col min="13818" max="13818" width="11" style="1" customWidth="1"/>
    <col min="13819" max="13819" width="10.42578125" style="1" customWidth="1"/>
    <col min="13820" max="13820" width="11.28515625" style="1" customWidth="1"/>
    <col min="13821" max="13822" width="9.140625" style="1" bestFit="1" customWidth="1"/>
    <col min="13823" max="13824" width="11.140625" style="1" bestFit="1" customWidth="1"/>
    <col min="13825" max="13825" width="11.5703125" style="1" bestFit="1" customWidth="1"/>
    <col min="13826" max="13826" width="9.140625" style="1" bestFit="1" customWidth="1"/>
    <col min="13827" max="13827" width="10.28515625" style="1" customWidth="1"/>
    <col min="13828" max="14066" width="9.140625" style="1"/>
    <col min="14067" max="14067" width="4.28515625" style="1" bestFit="1" customWidth="1"/>
    <col min="14068" max="14068" width="6.85546875" style="1" bestFit="1" customWidth="1"/>
    <col min="14069" max="14069" width="11" style="1" customWidth="1"/>
    <col min="14070" max="14070" width="11.140625" style="1" bestFit="1" customWidth="1"/>
    <col min="14071" max="14071" width="10.85546875" style="1" customWidth="1"/>
    <col min="14072" max="14072" width="11.5703125" style="1" customWidth="1"/>
    <col min="14073" max="14073" width="11.140625" style="1" bestFit="1" customWidth="1"/>
    <col min="14074" max="14074" width="11" style="1" customWidth="1"/>
    <col min="14075" max="14075" width="10.42578125" style="1" customWidth="1"/>
    <col min="14076" max="14076" width="11.28515625" style="1" customWidth="1"/>
    <col min="14077" max="14078" width="9.140625" style="1" bestFit="1" customWidth="1"/>
    <col min="14079" max="14080" width="11.140625" style="1" bestFit="1" customWidth="1"/>
    <col min="14081" max="14081" width="11.5703125" style="1" bestFit="1" customWidth="1"/>
    <col min="14082" max="14082" width="9.140625" style="1" bestFit="1" customWidth="1"/>
    <col min="14083" max="14083" width="10.28515625" style="1" customWidth="1"/>
    <col min="14084" max="14322" width="9.140625" style="1"/>
    <col min="14323" max="14323" width="4.28515625" style="1" bestFit="1" customWidth="1"/>
    <col min="14324" max="14324" width="6.85546875" style="1" bestFit="1" customWidth="1"/>
    <col min="14325" max="14325" width="11" style="1" customWidth="1"/>
    <col min="14326" max="14326" width="11.140625" style="1" bestFit="1" customWidth="1"/>
    <col min="14327" max="14327" width="10.85546875" style="1" customWidth="1"/>
    <col min="14328" max="14328" width="11.5703125" style="1" customWidth="1"/>
    <col min="14329" max="14329" width="11.140625" style="1" bestFit="1" customWidth="1"/>
    <col min="14330" max="14330" width="11" style="1" customWidth="1"/>
    <col min="14331" max="14331" width="10.42578125" style="1" customWidth="1"/>
    <col min="14332" max="14332" width="11.28515625" style="1" customWidth="1"/>
    <col min="14333" max="14334" width="9.140625" style="1" bestFit="1" customWidth="1"/>
    <col min="14335" max="14336" width="11.140625" style="1" bestFit="1" customWidth="1"/>
    <col min="14337" max="14337" width="11.5703125" style="1" bestFit="1" customWidth="1"/>
    <col min="14338" max="14338" width="9.140625" style="1" bestFit="1" customWidth="1"/>
    <col min="14339" max="14339" width="10.28515625" style="1" customWidth="1"/>
    <col min="14340" max="14578" width="9.140625" style="1"/>
    <col min="14579" max="14579" width="4.28515625" style="1" bestFit="1" customWidth="1"/>
    <col min="14580" max="14580" width="6.85546875" style="1" bestFit="1" customWidth="1"/>
    <col min="14581" max="14581" width="11" style="1" customWidth="1"/>
    <col min="14582" max="14582" width="11.140625" style="1" bestFit="1" customWidth="1"/>
    <col min="14583" max="14583" width="10.85546875" style="1" customWidth="1"/>
    <col min="14584" max="14584" width="11.5703125" style="1" customWidth="1"/>
    <col min="14585" max="14585" width="11.140625" style="1" bestFit="1" customWidth="1"/>
    <col min="14586" max="14586" width="11" style="1" customWidth="1"/>
    <col min="14587" max="14587" width="10.42578125" style="1" customWidth="1"/>
    <col min="14588" max="14588" width="11.28515625" style="1" customWidth="1"/>
    <col min="14589" max="14590" width="9.140625" style="1" bestFit="1" customWidth="1"/>
    <col min="14591" max="14592" width="11.140625" style="1" bestFit="1" customWidth="1"/>
    <col min="14593" max="14593" width="11.5703125" style="1" bestFit="1" customWidth="1"/>
    <col min="14594" max="14594" width="9.140625" style="1" bestFit="1" customWidth="1"/>
    <col min="14595" max="14595" width="10.28515625" style="1" customWidth="1"/>
    <col min="14596" max="14834" width="9.140625" style="1"/>
    <col min="14835" max="14835" width="4.28515625" style="1" bestFit="1" customWidth="1"/>
    <col min="14836" max="14836" width="6.85546875" style="1" bestFit="1" customWidth="1"/>
    <col min="14837" max="14837" width="11" style="1" customWidth="1"/>
    <col min="14838" max="14838" width="11.140625" style="1" bestFit="1" customWidth="1"/>
    <col min="14839" max="14839" width="10.85546875" style="1" customWidth="1"/>
    <col min="14840" max="14840" width="11.5703125" style="1" customWidth="1"/>
    <col min="14841" max="14841" width="11.140625" style="1" bestFit="1" customWidth="1"/>
    <col min="14842" max="14842" width="11" style="1" customWidth="1"/>
    <col min="14843" max="14843" width="10.42578125" style="1" customWidth="1"/>
    <col min="14844" max="14844" width="11.28515625" style="1" customWidth="1"/>
    <col min="14845" max="14846" width="9.140625" style="1" bestFit="1" customWidth="1"/>
    <col min="14847" max="14848" width="11.140625" style="1" bestFit="1" customWidth="1"/>
    <col min="14849" max="14849" width="11.5703125" style="1" bestFit="1" customWidth="1"/>
    <col min="14850" max="14850" width="9.140625" style="1" bestFit="1" customWidth="1"/>
    <col min="14851" max="14851" width="10.28515625" style="1" customWidth="1"/>
    <col min="14852" max="15090" width="9.140625" style="1"/>
    <col min="15091" max="15091" width="4.28515625" style="1" bestFit="1" customWidth="1"/>
    <col min="15092" max="15092" width="6.85546875" style="1" bestFit="1" customWidth="1"/>
    <col min="15093" max="15093" width="11" style="1" customWidth="1"/>
    <col min="15094" max="15094" width="11.140625" style="1" bestFit="1" customWidth="1"/>
    <col min="15095" max="15095" width="10.85546875" style="1" customWidth="1"/>
    <col min="15096" max="15096" width="11.5703125" style="1" customWidth="1"/>
    <col min="15097" max="15097" width="11.140625" style="1" bestFit="1" customWidth="1"/>
    <col min="15098" max="15098" width="11" style="1" customWidth="1"/>
    <col min="15099" max="15099" width="10.42578125" style="1" customWidth="1"/>
    <col min="15100" max="15100" width="11.28515625" style="1" customWidth="1"/>
    <col min="15101" max="15102" width="9.140625" style="1" bestFit="1" customWidth="1"/>
    <col min="15103" max="15104" width="11.140625" style="1" bestFit="1" customWidth="1"/>
    <col min="15105" max="15105" width="11.5703125" style="1" bestFit="1" customWidth="1"/>
    <col min="15106" max="15106" width="9.140625" style="1" bestFit="1" customWidth="1"/>
    <col min="15107" max="15107" width="10.28515625" style="1" customWidth="1"/>
    <col min="15108" max="15346" width="9.140625" style="1"/>
    <col min="15347" max="15347" width="4.28515625" style="1" bestFit="1" customWidth="1"/>
    <col min="15348" max="15348" width="6.85546875" style="1" bestFit="1" customWidth="1"/>
    <col min="15349" max="15349" width="11" style="1" customWidth="1"/>
    <col min="15350" max="15350" width="11.140625" style="1" bestFit="1" customWidth="1"/>
    <col min="15351" max="15351" width="10.85546875" style="1" customWidth="1"/>
    <col min="15352" max="15352" width="11.5703125" style="1" customWidth="1"/>
    <col min="15353" max="15353" width="11.140625" style="1" bestFit="1" customWidth="1"/>
    <col min="15354" max="15354" width="11" style="1" customWidth="1"/>
    <col min="15355" max="15355" width="10.42578125" style="1" customWidth="1"/>
    <col min="15356" max="15356" width="11.28515625" style="1" customWidth="1"/>
    <col min="15357" max="15358" width="9.140625" style="1" bestFit="1" customWidth="1"/>
    <col min="15359" max="15360" width="11.140625" style="1" bestFit="1" customWidth="1"/>
    <col min="15361" max="15361" width="11.5703125" style="1" bestFit="1" customWidth="1"/>
    <col min="15362" max="15362" width="9.140625" style="1" bestFit="1" customWidth="1"/>
    <col min="15363" max="15363" width="10.28515625" style="1" customWidth="1"/>
    <col min="15364" max="15602" width="9.140625" style="1"/>
    <col min="15603" max="15603" width="4.28515625" style="1" bestFit="1" customWidth="1"/>
    <col min="15604" max="15604" width="6.85546875" style="1" bestFit="1" customWidth="1"/>
    <col min="15605" max="15605" width="11" style="1" customWidth="1"/>
    <col min="15606" max="15606" width="11.140625" style="1" bestFit="1" customWidth="1"/>
    <col min="15607" max="15607" width="10.85546875" style="1" customWidth="1"/>
    <col min="15608" max="15608" width="11.5703125" style="1" customWidth="1"/>
    <col min="15609" max="15609" width="11.140625" style="1" bestFit="1" customWidth="1"/>
    <col min="15610" max="15610" width="11" style="1" customWidth="1"/>
    <col min="15611" max="15611" width="10.42578125" style="1" customWidth="1"/>
    <col min="15612" max="15612" width="11.28515625" style="1" customWidth="1"/>
    <col min="15613" max="15614" width="9.140625" style="1" bestFit="1" customWidth="1"/>
    <col min="15615" max="15616" width="11.140625" style="1" bestFit="1" customWidth="1"/>
    <col min="15617" max="15617" width="11.5703125" style="1" bestFit="1" customWidth="1"/>
    <col min="15618" max="15618" width="9.140625" style="1" bestFit="1" customWidth="1"/>
    <col min="15619" max="15619" width="10.28515625" style="1" customWidth="1"/>
    <col min="15620" max="15858" width="9.140625" style="1"/>
    <col min="15859" max="15859" width="4.28515625" style="1" bestFit="1" customWidth="1"/>
    <col min="15860" max="15860" width="6.85546875" style="1" bestFit="1" customWidth="1"/>
    <col min="15861" max="15861" width="11" style="1" customWidth="1"/>
    <col min="15862" max="15862" width="11.140625" style="1" bestFit="1" customWidth="1"/>
    <col min="15863" max="15863" width="10.85546875" style="1" customWidth="1"/>
    <col min="15864" max="15864" width="11.5703125" style="1" customWidth="1"/>
    <col min="15865" max="15865" width="11.140625" style="1" bestFit="1" customWidth="1"/>
    <col min="15866" max="15866" width="11" style="1" customWidth="1"/>
    <col min="15867" max="15867" width="10.42578125" style="1" customWidth="1"/>
    <col min="15868" max="15868" width="11.28515625" style="1" customWidth="1"/>
    <col min="15869" max="15870" width="9.140625" style="1" bestFit="1" customWidth="1"/>
    <col min="15871" max="15872" width="11.140625" style="1" bestFit="1" customWidth="1"/>
    <col min="15873" max="15873" width="11.5703125" style="1" bestFit="1" customWidth="1"/>
    <col min="15874" max="15874" width="9.140625" style="1" bestFit="1" customWidth="1"/>
    <col min="15875" max="15875" width="10.28515625" style="1" customWidth="1"/>
    <col min="15876" max="16114" width="9.140625" style="1"/>
    <col min="16115" max="16115" width="4.28515625" style="1" bestFit="1" customWidth="1"/>
    <col min="16116" max="16116" width="6.85546875" style="1" bestFit="1" customWidth="1"/>
    <col min="16117" max="16117" width="11" style="1" customWidth="1"/>
    <col min="16118" max="16118" width="11.140625" style="1" bestFit="1" customWidth="1"/>
    <col min="16119" max="16119" width="10.85546875" style="1" customWidth="1"/>
    <col min="16120" max="16120" width="11.5703125" style="1" customWidth="1"/>
    <col min="16121" max="16121" width="11.140625" style="1" bestFit="1" customWidth="1"/>
    <col min="16122" max="16122" width="11" style="1" customWidth="1"/>
    <col min="16123" max="16123" width="10.42578125" style="1" customWidth="1"/>
    <col min="16124" max="16124" width="11.28515625" style="1" customWidth="1"/>
    <col min="16125" max="16126" width="9.140625" style="1" bestFit="1" customWidth="1"/>
    <col min="16127" max="16128" width="11.140625" style="1" bestFit="1" customWidth="1"/>
    <col min="16129" max="16129" width="11.5703125" style="1" bestFit="1" customWidth="1"/>
    <col min="16130" max="16130" width="9.140625" style="1" bestFit="1" customWidth="1"/>
    <col min="16131" max="16131" width="10.28515625" style="1" customWidth="1"/>
    <col min="16132" max="16384" width="9.140625" style="1"/>
  </cols>
  <sheetData>
    <row r="1" spans="1:226" ht="45" customHeight="1">
      <c r="A1" s="830"/>
      <c r="B1" s="830"/>
      <c r="C1" s="830"/>
      <c r="D1" s="830"/>
      <c r="E1" s="830"/>
      <c r="F1" s="830"/>
      <c r="G1" s="830"/>
      <c r="H1" s="1518" t="s">
        <v>1084</v>
      </c>
      <c r="I1" s="1518"/>
      <c r="J1" s="1518"/>
    </row>
    <row r="2" spans="1:226" ht="69.95" customHeight="1">
      <c r="A2" s="1519" t="s">
        <v>993</v>
      </c>
      <c r="B2" s="1519"/>
      <c r="C2" s="1519"/>
      <c r="D2" s="1519"/>
      <c r="E2" s="1519"/>
      <c r="F2" s="1519"/>
      <c r="G2" s="1519"/>
      <c r="H2" s="1519"/>
      <c r="I2" s="1519"/>
      <c r="J2" s="1519"/>
    </row>
    <row r="3" spans="1:226" ht="14.25" customHeight="1" thickBot="1">
      <c r="A3" s="1520" t="s">
        <v>24</v>
      </c>
      <c r="B3" s="1520"/>
      <c r="C3" s="1520"/>
      <c r="D3" s="1520"/>
      <c r="E3" s="1520"/>
      <c r="F3" s="1520"/>
      <c r="G3" s="1520"/>
      <c r="H3" s="1520"/>
      <c r="I3" s="1520"/>
      <c r="J3" s="1520"/>
    </row>
    <row r="4" spans="1:226" ht="17.25" customHeight="1">
      <c r="A4" s="1521" t="s">
        <v>18</v>
      </c>
      <c r="B4" s="1523" t="s">
        <v>961</v>
      </c>
      <c r="C4" s="1525" t="s">
        <v>0</v>
      </c>
      <c r="D4" s="1526" t="s">
        <v>1</v>
      </c>
      <c r="E4" s="1528" t="s">
        <v>5</v>
      </c>
      <c r="F4" s="1529" t="s">
        <v>962</v>
      </c>
      <c r="G4" s="1531" t="s">
        <v>2</v>
      </c>
      <c r="H4" s="1531"/>
      <c r="I4" s="1531"/>
      <c r="J4" s="1532"/>
    </row>
    <row r="5" spans="1:226" ht="31.5" customHeight="1">
      <c r="A5" s="1522"/>
      <c r="B5" s="1524"/>
      <c r="C5" s="1524"/>
      <c r="D5" s="1527"/>
      <c r="E5" s="1527"/>
      <c r="F5" s="1530"/>
      <c r="G5" s="834" t="s">
        <v>963</v>
      </c>
      <c r="H5" s="834" t="s">
        <v>964</v>
      </c>
      <c r="I5" s="834" t="s">
        <v>965</v>
      </c>
      <c r="J5" s="835" t="s">
        <v>966</v>
      </c>
    </row>
    <row r="6" spans="1:226" s="840" customFormat="1" ht="9.9499999999999993" customHeight="1" thickBot="1">
      <c r="A6" s="893" t="s">
        <v>137</v>
      </c>
      <c r="B6" s="894" t="s">
        <v>138</v>
      </c>
      <c r="C6" s="894" t="s">
        <v>139</v>
      </c>
      <c r="D6" s="894" t="s">
        <v>140</v>
      </c>
      <c r="E6" s="894" t="s">
        <v>141</v>
      </c>
      <c r="F6" s="895" t="s">
        <v>967</v>
      </c>
      <c r="G6" s="895" t="s">
        <v>968</v>
      </c>
      <c r="H6" s="895" t="s">
        <v>969</v>
      </c>
      <c r="I6" s="895" t="s">
        <v>970</v>
      </c>
      <c r="J6" s="896" t="s">
        <v>971</v>
      </c>
    </row>
    <row r="7" spans="1:226" s="845" customFormat="1" ht="20.100000000000001" customHeight="1" thickBot="1">
      <c r="A7" s="841" t="s">
        <v>972</v>
      </c>
      <c r="B7" s="1496" t="s">
        <v>973</v>
      </c>
      <c r="C7" s="1496"/>
      <c r="D7" s="1496"/>
      <c r="E7" s="1496"/>
      <c r="F7" s="842">
        <f>F9+F18+F32+F45+F64+F81+F115+F128+F143+F161+F178+F195+F219+F243+F275+F302+F334</f>
        <v>50717301</v>
      </c>
      <c r="G7" s="842">
        <f>G9+G18+G32+G45+G64+G81+G115+G128+G143+G161+G178+G195+G219+G243+G275+G302+G334</f>
        <v>5878045</v>
      </c>
      <c r="H7" s="842">
        <f>H9+H18+H32+H45+H64+H81+H115+H128+H143+H161+H178+H195+H219+H243+H275+H302+H334</f>
        <v>5586745</v>
      </c>
      <c r="I7" s="842">
        <f>I9+I18+I32+I45+I64+I81+I115+I128+I143+I161+I178+I195+I219+I243+I275+I302+I334</f>
        <v>39252511</v>
      </c>
      <c r="J7" s="843">
        <f>J9+J18+J32+J45+J64+J81+J115+J128+J143+J161+J178+J195+J219+J243+J275+J302+J334</f>
        <v>0</v>
      </c>
    </row>
    <row r="8" spans="1:226" s="840" customFormat="1" ht="15" customHeight="1">
      <c r="A8" s="1513"/>
      <c r="B8" s="1514"/>
      <c r="C8" s="1514"/>
      <c r="D8" s="1514"/>
      <c r="E8" s="1514"/>
      <c r="F8" s="1514"/>
      <c r="G8" s="1514"/>
      <c r="H8" s="1514"/>
      <c r="I8" s="1514"/>
      <c r="J8" s="1515"/>
    </row>
    <row r="9" spans="1:226" s="850" customFormat="1" ht="24.95" customHeight="1">
      <c r="A9" s="1500" t="s">
        <v>974</v>
      </c>
      <c r="B9" s="1501" t="s">
        <v>994</v>
      </c>
      <c r="C9" s="1509"/>
      <c r="D9" s="1510"/>
      <c r="E9" s="846" t="s">
        <v>976</v>
      </c>
      <c r="F9" s="847">
        <f>SUM(F10,F14)</f>
        <v>1000000</v>
      </c>
      <c r="G9" s="847">
        <f>SUM(G10,G14)</f>
        <v>0</v>
      </c>
      <c r="H9" s="847">
        <f>SUM(H10,H14)</f>
        <v>0</v>
      </c>
      <c r="I9" s="847">
        <f>SUM(I10,I14)</f>
        <v>1000000</v>
      </c>
      <c r="J9" s="848">
        <f>SUM(J10,J14)</f>
        <v>0</v>
      </c>
      <c r="K9" s="849"/>
      <c r="L9" s="849"/>
      <c r="M9" s="849"/>
      <c r="N9" s="849"/>
      <c r="O9" s="849"/>
      <c r="P9" s="849"/>
      <c r="Q9" s="849"/>
      <c r="R9" s="849"/>
      <c r="S9" s="849"/>
      <c r="T9" s="849"/>
      <c r="U9" s="849"/>
      <c r="V9" s="849"/>
      <c r="W9" s="849"/>
      <c r="X9" s="849"/>
      <c r="Y9" s="849"/>
      <c r="Z9" s="849"/>
      <c r="AA9" s="849"/>
      <c r="AB9" s="849"/>
      <c r="AC9" s="849"/>
      <c r="AD9" s="849"/>
      <c r="AE9" s="849"/>
      <c r="AF9" s="849"/>
      <c r="AG9" s="849"/>
      <c r="AH9" s="849"/>
      <c r="AI9" s="849"/>
      <c r="AJ9" s="849"/>
      <c r="AK9" s="849"/>
      <c r="AL9" s="849"/>
      <c r="AM9" s="849"/>
      <c r="AN9" s="849"/>
      <c r="AO9" s="849"/>
      <c r="AP9" s="849"/>
      <c r="AQ9" s="849"/>
      <c r="AR9" s="849"/>
      <c r="AS9" s="849"/>
      <c r="AT9" s="849"/>
      <c r="AU9" s="849"/>
      <c r="AV9" s="849"/>
      <c r="AW9" s="849"/>
      <c r="AX9" s="849"/>
      <c r="AY9" s="849"/>
      <c r="AZ9" s="849"/>
      <c r="BA9" s="849"/>
      <c r="BB9" s="849"/>
      <c r="BC9" s="849"/>
      <c r="BD9" s="849"/>
      <c r="BE9" s="849"/>
      <c r="BF9" s="849"/>
      <c r="BG9" s="849"/>
      <c r="BH9" s="849"/>
      <c r="BI9" s="849"/>
      <c r="BJ9" s="849"/>
      <c r="BK9" s="849"/>
      <c r="BL9" s="849"/>
      <c r="BM9" s="849"/>
      <c r="BN9" s="849"/>
      <c r="BO9" s="849"/>
      <c r="BP9" s="849"/>
      <c r="BQ9" s="849"/>
      <c r="BR9" s="849"/>
      <c r="BS9" s="849"/>
      <c r="BT9" s="849"/>
      <c r="BU9" s="849"/>
      <c r="BV9" s="849"/>
      <c r="BW9" s="849"/>
      <c r="BX9" s="849"/>
      <c r="BY9" s="849"/>
      <c r="BZ9" s="849"/>
      <c r="CA9" s="849"/>
      <c r="CB9" s="849"/>
      <c r="CC9" s="849"/>
      <c r="CD9" s="849"/>
      <c r="CE9" s="849"/>
      <c r="CF9" s="849"/>
      <c r="CG9" s="849"/>
      <c r="CH9" s="849"/>
      <c r="CI9" s="849"/>
      <c r="CJ9" s="849"/>
      <c r="CK9" s="849"/>
      <c r="CL9" s="849"/>
      <c r="CM9" s="849"/>
      <c r="CN9" s="849"/>
      <c r="CO9" s="849"/>
      <c r="CP9" s="849"/>
      <c r="CQ9" s="849"/>
      <c r="CR9" s="849"/>
      <c r="CS9" s="849"/>
      <c r="CT9" s="849"/>
      <c r="CU9" s="849"/>
      <c r="CV9" s="849"/>
      <c r="CW9" s="849"/>
      <c r="CX9" s="849"/>
      <c r="CY9" s="849"/>
      <c r="CZ9" s="849"/>
      <c r="DA9" s="849"/>
      <c r="DB9" s="849"/>
      <c r="DC9" s="849"/>
      <c r="DD9" s="849"/>
      <c r="DE9" s="849"/>
      <c r="DF9" s="849"/>
      <c r="DG9" s="849"/>
      <c r="DH9" s="849"/>
      <c r="DI9" s="849"/>
      <c r="DJ9" s="849"/>
      <c r="DK9" s="849"/>
      <c r="DL9" s="849"/>
      <c r="DM9" s="849"/>
      <c r="DN9" s="849"/>
      <c r="DO9" s="849"/>
      <c r="DP9" s="849"/>
      <c r="DQ9" s="849"/>
      <c r="DR9" s="849"/>
      <c r="DS9" s="849"/>
      <c r="DT9" s="849"/>
      <c r="DU9" s="849"/>
      <c r="DV9" s="849"/>
      <c r="DW9" s="849"/>
      <c r="DX9" s="849"/>
      <c r="DY9" s="849"/>
      <c r="DZ9" s="849"/>
      <c r="EA9" s="849"/>
      <c r="EB9" s="849"/>
      <c r="EC9" s="849"/>
      <c r="ED9" s="849"/>
      <c r="EE9" s="849"/>
      <c r="EF9" s="849"/>
      <c r="EG9" s="849"/>
      <c r="EH9" s="849"/>
      <c r="EI9" s="849"/>
      <c r="EJ9" s="849"/>
      <c r="EK9" s="849"/>
      <c r="EL9" s="849"/>
      <c r="EM9" s="849"/>
      <c r="EN9" s="849"/>
      <c r="EO9" s="849"/>
      <c r="EP9" s="849"/>
      <c r="EQ9" s="849"/>
      <c r="ER9" s="849"/>
      <c r="ES9" s="849"/>
      <c r="ET9" s="849"/>
      <c r="EU9" s="849"/>
      <c r="EV9" s="849"/>
      <c r="EW9" s="849"/>
      <c r="EX9" s="849"/>
      <c r="EY9" s="849"/>
      <c r="EZ9" s="849"/>
      <c r="FA9" s="849"/>
      <c r="FB9" s="849"/>
      <c r="FC9" s="849"/>
      <c r="FD9" s="849"/>
      <c r="FE9" s="849"/>
      <c r="FF9" s="849"/>
      <c r="FG9" s="849"/>
      <c r="FH9" s="849"/>
      <c r="FI9" s="849"/>
      <c r="FJ9" s="849"/>
      <c r="FK9" s="849"/>
      <c r="FL9" s="849"/>
      <c r="FM9" s="849"/>
      <c r="FN9" s="849"/>
      <c r="FO9" s="849"/>
      <c r="FP9" s="849"/>
      <c r="FQ9" s="849"/>
      <c r="FR9" s="849"/>
      <c r="FS9" s="849"/>
      <c r="FT9" s="849"/>
      <c r="FU9" s="849"/>
      <c r="FV9" s="849"/>
      <c r="FW9" s="849"/>
      <c r="FX9" s="849"/>
      <c r="FY9" s="849"/>
      <c r="FZ9" s="849"/>
      <c r="GA9" s="849"/>
      <c r="GB9" s="849"/>
      <c r="GC9" s="849"/>
      <c r="GD9" s="849"/>
      <c r="GE9" s="849"/>
      <c r="GF9" s="849"/>
      <c r="GG9" s="849"/>
      <c r="GH9" s="849"/>
      <c r="GI9" s="849"/>
      <c r="GJ9" s="849"/>
      <c r="GK9" s="849"/>
      <c r="GL9" s="849"/>
      <c r="GM9" s="849"/>
      <c r="GN9" s="849"/>
      <c r="GO9" s="849"/>
      <c r="GP9" s="849"/>
      <c r="GQ9" s="849"/>
      <c r="GR9" s="849"/>
      <c r="GS9" s="849"/>
      <c r="GT9" s="849"/>
      <c r="GU9" s="849"/>
      <c r="GV9" s="849"/>
      <c r="GW9" s="849"/>
      <c r="GX9" s="849"/>
      <c r="GY9" s="849"/>
      <c r="GZ9" s="849"/>
      <c r="HA9" s="849"/>
      <c r="HB9" s="849"/>
      <c r="HC9" s="849"/>
      <c r="HD9" s="849"/>
      <c r="HE9" s="849"/>
      <c r="HF9" s="849"/>
      <c r="HG9" s="849"/>
      <c r="HH9" s="849"/>
      <c r="HI9" s="849"/>
      <c r="HJ9" s="849"/>
      <c r="HK9" s="849"/>
      <c r="HL9" s="849"/>
      <c r="HM9" s="849"/>
      <c r="HN9" s="849"/>
      <c r="HO9" s="849"/>
      <c r="HP9" s="849"/>
      <c r="HQ9" s="849"/>
      <c r="HR9" s="849"/>
    </row>
    <row r="10" spans="1:226" s="850" customFormat="1" ht="24.95" customHeight="1">
      <c r="A10" s="1500"/>
      <c r="B10" s="1501"/>
      <c r="C10" s="1555"/>
      <c r="D10" s="1556"/>
      <c r="E10" s="851" t="s">
        <v>383</v>
      </c>
      <c r="F10" s="852">
        <f>SUM(F11:F13)</f>
        <v>0</v>
      </c>
      <c r="G10" s="852">
        <f>SUM(G11:G13)</f>
        <v>0</v>
      </c>
      <c r="H10" s="852">
        <f>SUM(H11:H13)</f>
        <v>0</v>
      </c>
      <c r="I10" s="852">
        <f>SUM(I11:I13)</f>
        <v>0</v>
      </c>
      <c r="J10" s="853">
        <f>SUM(J11:J13)</f>
        <v>0</v>
      </c>
      <c r="K10" s="849"/>
    </row>
    <row r="11" spans="1:226" s="850" customFormat="1" ht="15" hidden="1" customHeight="1">
      <c r="A11" s="1500"/>
      <c r="B11" s="1501"/>
      <c r="C11" s="1555"/>
      <c r="D11" s="1556"/>
      <c r="E11" s="855"/>
      <c r="F11" s="856">
        <f>SUM(G11:J11)</f>
        <v>0</v>
      </c>
      <c r="G11" s="856"/>
      <c r="H11" s="856"/>
      <c r="I11" s="856"/>
      <c r="J11" s="857"/>
      <c r="K11" s="849"/>
    </row>
    <row r="12" spans="1:226" s="850" customFormat="1" ht="15" hidden="1" customHeight="1">
      <c r="A12" s="1500"/>
      <c r="B12" s="1501"/>
      <c r="C12" s="1555"/>
      <c r="D12" s="1556"/>
      <c r="E12" s="855"/>
      <c r="F12" s="856">
        <f>SUM(G12:J12)</f>
        <v>0</v>
      </c>
      <c r="G12" s="856"/>
      <c r="H12" s="856"/>
      <c r="I12" s="856"/>
      <c r="J12" s="857"/>
      <c r="K12" s="849"/>
    </row>
    <row r="13" spans="1:226" s="850" customFormat="1" ht="15" hidden="1" customHeight="1">
      <c r="A13" s="1500"/>
      <c r="B13" s="1501"/>
      <c r="C13" s="1555"/>
      <c r="D13" s="1556"/>
      <c r="E13" s="855"/>
      <c r="F13" s="856">
        <f>SUM(G13:J13)</f>
        <v>0</v>
      </c>
      <c r="G13" s="856"/>
      <c r="H13" s="856"/>
      <c r="I13" s="856"/>
      <c r="J13" s="857"/>
      <c r="K13" s="849"/>
    </row>
    <row r="14" spans="1:226" s="850" customFormat="1" ht="24.95" customHeight="1">
      <c r="A14" s="1500"/>
      <c r="B14" s="1501"/>
      <c r="C14" s="1511"/>
      <c r="D14" s="1512"/>
      <c r="E14" s="858" t="s">
        <v>977</v>
      </c>
      <c r="F14" s="852">
        <f>SUM(F15:F17)</f>
        <v>1000000</v>
      </c>
      <c r="G14" s="852">
        <f>SUM(G15:G17)</f>
        <v>0</v>
      </c>
      <c r="H14" s="852">
        <f>SUM(H15:H17)</f>
        <v>0</v>
      </c>
      <c r="I14" s="852">
        <f>SUM(I15:I17)</f>
        <v>1000000</v>
      </c>
      <c r="J14" s="853">
        <f>SUM(J15:J17)</f>
        <v>0</v>
      </c>
      <c r="K14" s="849"/>
    </row>
    <row r="15" spans="1:226" s="850" customFormat="1" ht="15" customHeight="1">
      <c r="A15" s="1500"/>
      <c r="B15" s="1501"/>
      <c r="C15" s="854">
        <v>150</v>
      </c>
      <c r="D15" s="855" t="s">
        <v>277</v>
      </c>
      <c r="E15" s="855" t="s">
        <v>285</v>
      </c>
      <c r="F15" s="856">
        <f t="shared" ref="F15:F17" si="0">SUM(G15:J15)</f>
        <v>1000000</v>
      </c>
      <c r="G15" s="856"/>
      <c r="H15" s="856"/>
      <c r="I15" s="856">
        <v>1000000</v>
      </c>
      <c r="J15" s="857"/>
      <c r="K15" s="849"/>
    </row>
    <row r="16" spans="1:226" s="850" customFormat="1" ht="15" hidden="1" customHeight="1">
      <c r="A16" s="1500"/>
      <c r="B16" s="1501"/>
      <c r="C16" s="854"/>
      <c r="D16" s="855"/>
      <c r="E16" s="855"/>
      <c r="F16" s="856">
        <f t="shared" si="0"/>
        <v>0</v>
      </c>
      <c r="G16" s="856"/>
      <c r="H16" s="856"/>
      <c r="I16" s="856"/>
      <c r="J16" s="857"/>
      <c r="K16" s="849"/>
    </row>
    <row r="17" spans="1:226" s="850" customFormat="1" ht="15" hidden="1" customHeight="1">
      <c r="A17" s="1500"/>
      <c r="B17" s="1501"/>
      <c r="C17" s="854"/>
      <c r="D17" s="855"/>
      <c r="E17" s="855"/>
      <c r="F17" s="856">
        <f t="shared" si="0"/>
        <v>0</v>
      </c>
      <c r="G17" s="856"/>
      <c r="H17" s="856"/>
      <c r="I17" s="856"/>
      <c r="J17" s="857"/>
      <c r="K17" s="849"/>
    </row>
    <row r="18" spans="1:226" s="850" customFormat="1" ht="24.95" customHeight="1">
      <c r="A18" s="1500" t="s">
        <v>979</v>
      </c>
      <c r="B18" s="1557" t="s">
        <v>995</v>
      </c>
      <c r="C18" s="1495">
        <v>750</v>
      </c>
      <c r="D18" s="1502" t="s">
        <v>381</v>
      </c>
      <c r="E18" s="846" t="s">
        <v>976</v>
      </c>
      <c r="F18" s="847">
        <f>SUM(F19,F28)</f>
        <v>2500000</v>
      </c>
      <c r="G18" s="847">
        <f>SUM(G19,G28)</f>
        <v>375000</v>
      </c>
      <c r="H18" s="847">
        <f>SUM(H19,H28)</f>
        <v>0</v>
      </c>
      <c r="I18" s="847">
        <f>SUM(I19,I28)</f>
        <v>2125000</v>
      </c>
      <c r="J18" s="848">
        <f>SUM(J19,J28)</f>
        <v>0</v>
      </c>
      <c r="K18" s="849"/>
    </row>
    <row r="19" spans="1:226" s="850" customFormat="1" ht="24.95" customHeight="1">
      <c r="A19" s="1500"/>
      <c r="B19" s="1501"/>
      <c r="C19" s="1495"/>
      <c r="D19" s="1502"/>
      <c r="E19" s="851" t="s">
        <v>990</v>
      </c>
      <c r="F19" s="852">
        <f>SUM(F20,F24)</f>
        <v>2500000</v>
      </c>
      <c r="G19" s="852">
        <f>SUM(G20,G24)</f>
        <v>375000</v>
      </c>
      <c r="H19" s="852">
        <f>SUM(H20,H24)</f>
        <v>0</v>
      </c>
      <c r="I19" s="852">
        <f>SUM(I20,I24)</f>
        <v>2125000</v>
      </c>
      <c r="J19" s="853">
        <f>SUM(J20,J24)</f>
        <v>0</v>
      </c>
      <c r="K19" s="849"/>
    </row>
    <row r="20" spans="1:226" s="850" customFormat="1" ht="24.95" hidden="1" customHeight="1">
      <c r="A20" s="1500"/>
      <c r="B20" s="1501"/>
      <c r="C20" s="1495"/>
      <c r="D20" s="1502"/>
      <c r="E20" s="860" t="s">
        <v>981</v>
      </c>
      <c r="F20" s="861">
        <f>SUM(F21:F23)</f>
        <v>0</v>
      </c>
      <c r="G20" s="861">
        <f>SUM(G21:G23)</f>
        <v>0</v>
      </c>
      <c r="H20" s="861">
        <f>SUM(H21:H23)</f>
        <v>0</v>
      </c>
      <c r="I20" s="861">
        <f>SUM(I21:I23)</f>
        <v>0</v>
      </c>
      <c r="J20" s="862">
        <f>SUM(J21:J23)</f>
        <v>0</v>
      </c>
      <c r="K20" s="849"/>
    </row>
    <row r="21" spans="1:226" s="850" customFormat="1" ht="15" hidden="1" customHeight="1">
      <c r="A21" s="1500"/>
      <c r="B21" s="1501"/>
      <c r="C21" s="1495"/>
      <c r="D21" s="1502"/>
      <c r="E21" s="855"/>
      <c r="F21" s="856">
        <f>SUM(G21:J21)</f>
        <v>0</v>
      </c>
      <c r="G21" s="856"/>
      <c r="H21" s="856"/>
      <c r="I21" s="856"/>
      <c r="J21" s="857"/>
      <c r="K21" s="849"/>
    </row>
    <row r="22" spans="1:226" s="850" customFormat="1" ht="15" hidden="1" customHeight="1">
      <c r="A22" s="1500"/>
      <c r="B22" s="1501"/>
      <c r="C22" s="1495"/>
      <c r="D22" s="1502"/>
      <c r="E22" s="855"/>
      <c r="F22" s="856">
        <f>SUM(G22:J22)</f>
        <v>0</v>
      </c>
      <c r="G22" s="856"/>
      <c r="H22" s="856"/>
      <c r="I22" s="856"/>
      <c r="J22" s="857"/>
      <c r="K22" s="849"/>
    </row>
    <row r="23" spans="1:226" s="850" customFormat="1" ht="15" hidden="1" customHeight="1">
      <c r="A23" s="1500"/>
      <c r="B23" s="1501"/>
      <c r="C23" s="1495"/>
      <c r="D23" s="1502"/>
      <c r="E23" s="855"/>
      <c r="F23" s="856">
        <f>SUM(G23:J23)</f>
        <v>0</v>
      </c>
      <c r="G23" s="856"/>
      <c r="H23" s="856"/>
      <c r="I23" s="856"/>
      <c r="J23" s="857"/>
      <c r="K23" s="849"/>
    </row>
    <row r="24" spans="1:226" s="850" customFormat="1" ht="24.95" customHeight="1">
      <c r="A24" s="1500"/>
      <c r="B24" s="1501"/>
      <c r="C24" s="1495"/>
      <c r="D24" s="1502"/>
      <c r="E24" s="860" t="s">
        <v>982</v>
      </c>
      <c r="F24" s="861">
        <f>SUM(F25:F27)</f>
        <v>2500000</v>
      </c>
      <c r="G24" s="861">
        <f>SUM(G25:G27)</f>
        <v>375000</v>
      </c>
      <c r="H24" s="861">
        <f>SUM(H25:H27)</f>
        <v>0</v>
      </c>
      <c r="I24" s="861">
        <f>SUM(I25:I27)</f>
        <v>2125000</v>
      </c>
      <c r="J24" s="862">
        <f>SUM(J25:J27)</f>
        <v>0</v>
      </c>
      <c r="K24" s="849"/>
      <c r="L24" s="849"/>
      <c r="M24" s="849"/>
      <c r="N24" s="849"/>
      <c r="O24" s="849"/>
      <c r="P24" s="849"/>
      <c r="Q24" s="849"/>
      <c r="R24" s="849"/>
      <c r="S24" s="849"/>
      <c r="T24" s="849"/>
      <c r="U24" s="849"/>
      <c r="V24" s="849"/>
      <c r="W24" s="849"/>
      <c r="X24" s="849"/>
      <c r="Y24" s="849"/>
      <c r="Z24" s="849"/>
      <c r="AA24" s="849"/>
      <c r="AB24" s="849"/>
      <c r="AC24" s="849"/>
      <c r="AD24" s="849"/>
      <c r="AE24" s="849"/>
      <c r="AF24" s="849"/>
      <c r="AG24" s="849"/>
      <c r="AH24" s="849"/>
      <c r="AI24" s="849"/>
      <c r="AJ24" s="849"/>
      <c r="AK24" s="849"/>
      <c r="AL24" s="849"/>
      <c r="AM24" s="849"/>
      <c r="AN24" s="849"/>
      <c r="AO24" s="849"/>
      <c r="AP24" s="849"/>
      <c r="AQ24" s="849"/>
      <c r="AR24" s="849"/>
      <c r="AS24" s="849"/>
      <c r="AT24" s="849"/>
      <c r="AU24" s="849"/>
      <c r="AV24" s="849"/>
      <c r="AW24" s="849"/>
      <c r="AX24" s="849"/>
      <c r="AY24" s="849"/>
      <c r="AZ24" s="849"/>
      <c r="BA24" s="849"/>
      <c r="BB24" s="849"/>
      <c r="BC24" s="849"/>
      <c r="BD24" s="849"/>
      <c r="BE24" s="849"/>
      <c r="BF24" s="849"/>
      <c r="BG24" s="849"/>
      <c r="BH24" s="849"/>
      <c r="BI24" s="849"/>
      <c r="BJ24" s="849"/>
      <c r="BK24" s="849"/>
      <c r="BL24" s="849"/>
      <c r="BM24" s="849"/>
      <c r="BN24" s="849"/>
      <c r="BO24" s="849"/>
      <c r="BP24" s="849"/>
      <c r="BQ24" s="849"/>
      <c r="BR24" s="849"/>
      <c r="BS24" s="849"/>
      <c r="BT24" s="849"/>
      <c r="BU24" s="849"/>
      <c r="BV24" s="849"/>
      <c r="BW24" s="849"/>
      <c r="BX24" s="849"/>
      <c r="BY24" s="849"/>
      <c r="BZ24" s="849"/>
      <c r="CA24" s="849"/>
      <c r="CB24" s="849"/>
      <c r="CC24" s="849"/>
      <c r="CD24" s="849"/>
      <c r="CE24" s="849"/>
      <c r="CF24" s="849"/>
      <c r="CG24" s="849"/>
      <c r="CH24" s="849"/>
      <c r="CI24" s="849"/>
      <c r="CJ24" s="849"/>
      <c r="CK24" s="849"/>
      <c r="CL24" s="849"/>
      <c r="CM24" s="849"/>
      <c r="CN24" s="849"/>
      <c r="CO24" s="849"/>
      <c r="CP24" s="849"/>
      <c r="CQ24" s="849"/>
      <c r="CR24" s="849"/>
      <c r="CS24" s="849"/>
      <c r="CT24" s="849"/>
      <c r="CU24" s="849"/>
      <c r="CV24" s="849"/>
      <c r="CW24" s="849"/>
      <c r="CX24" s="849"/>
      <c r="CY24" s="849"/>
      <c r="CZ24" s="849"/>
      <c r="DA24" s="849"/>
      <c r="DB24" s="849"/>
      <c r="DC24" s="849"/>
      <c r="DD24" s="849"/>
      <c r="DE24" s="849"/>
      <c r="DF24" s="849"/>
      <c r="DG24" s="849"/>
      <c r="DH24" s="849"/>
      <c r="DI24" s="849"/>
      <c r="DJ24" s="849"/>
      <c r="DK24" s="849"/>
      <c r="DL24" s="849"/>
      <c r="DM24" s="849"/>
      <c r="DN24" s="849"/>
      <c r="DO24" s="849"/>
      <c r="DP24" s="849"/>
      <c r="DQ24" s="849"/>
      <c r="DR24" s="849"/>
      <c r="DS24" s="849"/>
      <c r="DT24" s="849"/>
      <c r="DU24" s="849"/>
      <c r="DV24" s="849"/>
      <c r="DW24" s="849"/>
      <c r="DX24" s="849"/>
      <c r="DY24" s="849"/>
      <c r="DZ24" s="849"/>
      <c r="EA24" s="849"/>
      <c r="EB24" s="849"/>
      <c r="EC24" s="849"/>
      <c r="ED24" s="849"/>
      <c r="EE24" s="849"/>
      <c r="EF24" s="849"/>
      <c r="EG24" s="849"/>
      <c r="EH24" s="849"/>
      <c r="EI24" s="849"/>
      <c r="EJ24" s="849"/>
      <c r="EK24" s="849"/>
      <c r="EL24" s="849"/>
      <c r="EM24" s="849"/>
      <c r="EN24" s="849"/>
      <c r="EO24" s="849"/>
      <c r="EP24" s="849"/>
      <c r="EQ24" s="849"/>
      <c r="ER24" s="849"/>
      <c r="ES24" s="849"/>
      <c r="ET24" s="849"/>
      <c r="EU24" s="849"/>
      <c r="EV24" s="849"/>
      <c r="EW24" s="849"/>
      <c r="EX24" s="849"/>
      <c r="EY24" s="849"/>
      <c r="EZ24" s="849"/>
      <c r="FA24" s="849"/>
      <c r="FB24" s="849"/>
      <c r="FC24" s="849"/>
      <c r="FD24" s="849"/>
      <c r="FE24" s="849"/>
      <c r="FF24" s="849"/>
      <c r="FG24" s="849"/>
      <c r="FH24" s="849"/>
      <c r="FI24" s="849"/>
      <c r="FJ24" s="849"/>
      <c r="FK24" s="849"/>
      <c r="FL24" s="849"/>
      <c r="FM24" s="849"/>
      <c r="FN24" s="849"/>
      <c r="FO24" s="849"/>
      <c r="FP24" s="849"/>
      <c r="FQ24" s="849"/>
      <c r="FR24" s="849"/>
      <c r="FS24" s="849"/>
      <c r="FT24" s="849"/>
      <c r="FU24" s="849"/>
      <c r="FV24" s="849"/>
      <c r="FW24" s="849"/>
      <c r="FX24" s="849"/>
      <c r="FY24" s="849"/>
      <c r="FZ24" s="849"/>
      <c r="GA24" s="849"/>
      <c r="GB24" s="849"/>
      <c r="GC24" s="849"/>
      <c r="GD24" s="849"/>
      <c r="GE24" s="849"/>
      <c r="GF24" s="849"/>
      <c r="GG24" s="849"/>
      <c r="GH24" s="849"/>
      <c r="GI24" s="849"/>
      <c r="GJ24" s="849"/>
      <c r="GK24" s="849"/>
      <c r="GL24" s="849"/>
      <c r="GM24" s="849"/>
      <c r="GN24" s="849"/>
      <c r="GO24" s="849"/>
      <c r="GP24" s="849"/>
      <c r="GQ24" s="849"/>
      <c r="GR24" s="849"/>
      <c r="GS24" s="849"/>
      <c r="GT24" s="849"/>
      <c r="GU24" s="849"/>
      <c r="GV24" s="849"/>
      <c r="GW24" s="849"/>
      <c r="GX24" s="849"/>
      <c r="GY24" s="849"/>
      <c r="GZ24" s="849"/>
      <c r="HA24" s="849"/>
      <c r="HB24" s="849"/>
      <c r="HC24" s="849"/>
      <c r="HD24" s="849"/>
      <c r="HE24" s="849"/>
      <c r="HF24" s="849"/>
      <c r="HG24" s="849"/>
      <c r="HH24" s="849"/>
      <c r="HI24" s="849"/>
      <c r="HJ24" s="849"/>
      <c r="HK24" s="849"/>
      <c r="HL24" s="849"/>
      <c r="HM24" s="849"/>
      <c r="HN24" s="849"/>
      <c r="HO24" s="849"/>
      <c r="HP24" s="849"/>
      <c r="HQ24" s="849"/>
      <c r="HR24" s="849"/>
    </row>
    <row r="25" spans="1:226" s="850" customFormat="1" ht="15" customHeight="1">
      <c r="A25" s="1500"/>
      <c r="B25" s="1501"/>
      <c r="C25" s="1495"/>
      <c r="D25" s="1502"/>
      <c r="E25" s="855" t="s">
        <v>231</v>
      </c>
      <c r="F25" s="856">
        <f>SUM(G25:J25)</f>
        <v>2125000</v>
      </c>
      <c r="G25" s="856"/>
      <c r="H25" s="856"/>
      <c r="I25" s="856">
        <v>2125000</v>
      </c>
      <c r="J25" s="857"/>
      <c r="K25" s="849"/>
    </row>
    <row r="26" spans="1:226" s="850" customFormat="1" ht="15" customHeight="1">
      <c r="A26" s="1500"/>
      <c r="B26" s="1501"/>
      <c r="C26" s="1495"/>
      <c r="D26" s="1502"/>
      <c r="E26" s="855" t="s">
        <v>232</v>
      </c>
      <c r="F26" s="856">
        <f>SUM(G26:J26)</f>
        <v>375000</v>
      </c>
      <c r="G26" s="856">
        <v>375000</v>
      </c>
      <c r="H26" s="856"/>
      <c r="I26" s="856"/>
      <c r="J26" s="857"/>
      <c r="K26" s="849"/>
    </row>
    <row r="27" spans="1:226" s="850" customFormat="1" ht="15" hidden="1" customHeight="1">
      <c r="A27" s="1500"/>
      <c r="B27" s="1501"/>
      <c r="C27" s="1495"/>
      <c r="D27" s="1502"/>
      <c r="E27" s="855"/>
      <c r="F27" s="856">
        <f>SUM(G27:J27)</f>
        <v>0</v>
      </c>
      <c r="G27" s="856"/>
      <c r="H27" s="856"/>
      <c r="I27" s="856"/>
      <c r="J27" s="857"/>
      <c r="K27" s="849"/>
    </row>
    <row r="28" spans="1:226" s="850" customFormat="1" ht="24.95" customHeight="1">
      <c r="A28" s="1500"/>
      <c r="B28" s="1501"/>
      <c r="C28" s="1495"/>
      <c r="D28" s="1502"/>
      <c r="E28" s="858" t="s">
        <v>977</v>
      </c>
      <c r="F28" s="852">
        <f>SUM(F29:F31)</f>
        <v>0</v>
      </c>
      <c r="G28" s="852">
        <f>SUM(G29:G31)</f>
        <v>0</v>
      </c>
      <c r="H28" s="852">
        <f>SUM(H29:H31)</f>
        <v>0</v>
      </c>
      <c r="I28" s="852">
        <f>SUM(I29:I31)</f>
        <v>0</v>
      </c>
      <c r="J28" s="853">
        <f>SUM(J29:J31)</f>
        <v>0</v>
      </c>
      <c r="K28" s="849"/>
    </row>
    <row r="29" spans="1:226" s="850" customFormat="1" ht="15" hidden="1" customHeight="1">
      <c r="A29" s="1500"/>
      <c r="B29" s="1501"/>
      <c r="C29" s="1495"/>
      <c r="D29" s="1502"/>
      <c r="E29" s="855"/>
      <c r="F29" s="856">
        <f>SUM(G29:J29)</f>
        <v>0</v>
      </c>
      <c r="G29" s="856"/>
      <c r="H29" s="856"/>
      <c r="I29" s="856"/>
      <c r="J29" s="857"/>
      <c r="K29" s="849"/>
    </row>
    <row r="30" spans="1:226" s="850" customFormat="1" ht="15" hidden="1" customHeight="1">
      <c r="A30" s="1500"/>
      <c r="B30" s="1501"/>
      <c r="C30" s="1495"/>
      <c r="D30" s="1502"/>
      <c r="E30" s="855"/>
      <c r="F30" s="856"/>
      <c r="G30" s="856"/>
      <c r="H30" s="856"/>
      <c r="I30" s="856"/>
      <c r="J30" s="857"/>
      <c r="K30" s="849"/>
    </row>
    <row r="31" spans="1:226" s="850" customFormat="1" ht="15" hidden="1" customHeight="1">
      <c r="A31" s="1500"/>
      <c r="B31" s="1501"/>
      <c r="C31" s="1495"/>
      <c r="D31" s="1502"/>
      <c r="E31" s="897"/>
      <c r="F31" s="856">
        <f>SUM(G31:J31)</f>
        <v>0</v>
      </c>
      <c r="G31" s="856"/>
      <c r="H31" s="856"/>
      <c r="I31" s="856"/>
      <c r="J31" s="857"/>
      <c r="K31" s="849"/>
    </row>
    <row r="32" spans="1:226" s="850" customFormat="1" ht="24.95" customHeight="1">
      <c r="A32" s="1503" t="s">
        <v>996</v>
      </c>
      <c r="B32" s="1506" t="s">
        <v>997</v>
      </c>
      <c r="C32" s="1516">
        <v>750</v>
      </c>
      <c r="D32" s="1542" t="s">
        <v>381</v>
      </c>
      <c r="E32" s="846" t="s">
        <v>976</v>
      </c>
      <c r="F32" s="847">
        <f>SUM(F33,F43)</f>
        <v>645000</v>
      </c>
      <c r="G32" s="847">
        <f>SUM(G33,G43)</f>
        <v>96750</v>
      </c>
      <c r="H32" s="847">
        <f>SUM(H33,H43)</f>
        <v>0</v>
      </c>
      <c r="I32" s="847">
        <f>SUM(I33,I43)</f>
        <v>548250</v>
      </c>
      <c r="J32" s="848">
        <f>SUM(J33,J43)</f>
        <v>0</v>
      </c>
      <c r="K32" s="849"/>
    </row>
    <row r="33" spans="1:226" s="850" customFormat="1" ht="24.95" customHeight="1">
      <c r="A33" s="1504"/>
      <c r="B33" s="1507"/>
      <c r="C33" s="1541"/>
      <c r="D33" s="1543"/>
      <c r="E33" s="851" t="s">
        <v>990</v>
      </c>
      <c r="F33" s="852">
        <f>SUM(F34,F38)</f>
        <v>645000</v>
      </c>
      <c r="G33" s="852">
        <f>SUM(G34,G38)</f>
        <v>96750</v>
      </c>
      <c r="H33" s="852">
        <f>SUM(H34,H38)</f>
        <v>0</v>
      </c>
      <c r="I33" s="852">
        <f>SUM(I34,I38)</f>
        <v>548250</v>
      </c>
      <c r="J33" s="853">
        <f>SUM(J34,J38)</f>
        <v>0</v>
      </c>
      <c r="K33" s="849"/>
    </row>
    <row r="34" spans="1:226" s="850" customFormat="1" ht="24.95" hidden="1" customHeight="1">
      <c r="A34" s="1504"/>
      <c r="B34" s="1507"/>
      <c r="C34" s="1541"/>
      <c r="D34" s="1543"/>
      <c r="E34" s="860" t="s">
        <v>981</v>
      </c>
      <c r="F34" s="861">
        <f>SUM(F35:F37)</f>
        <v>0</v>
      </c>
      <c r="G34" s="861">
        <f>SUM(G35:G37)</f>
        <v>0</v>
      </c>
      <c r="H34" s="861">
        <f>SUM(H35:H37)</f>
        <v>0</v>
      </c>
      <c r="I34" s="861">
        <f>SUM(I35:I37)</f>
        <v>0</v>
      </c>
      <c r="J34" s="862">
        <f>SUM(J35:J37)</f>
        <v>0</v>
      </c>
      <c r="K34" s="849"/>
    </row>
    <row r="35" spans="1:226" s="850" customFormat="1" ht="15" hidden="1" customHeight="1">
      <c r="A35" s="1504"/>
      <c r="B35" s="1507"/>
      <c r="C35" s="1541"/>
      <c r="D35" s="1543"/>
      <c r="E35" s="855"/>
      <c r="F35" s="856">
        <f>SUM(G35:J35)</f>
        <v>0</v>
      </c>
      <c r="G35" s="856"/>
      <c r="H35" s="856"/>
      <c r="I35" s="856"/>
      <c r="J35" s="857"/>
      <c r="K35" s="849"/>
    </row>
    <row r="36" spans="1:226" s="850" customFormat="1" ht="15" hidden="1" customHeight="1">
      <c r="A36" s="1504"/>
      <c r="B36" s="1507"/>
      <c r="C36" s="1541"/>
      <c r="D36" s="1543"/>
      <c r="E36" s="855"/>
      <c r="F36" s="856">
        <f>SUM(G36:J36)</f>
        <v>0</v>
      </c>
      <c r="G36" s="856"/>
      <c r="H36" s="856"/>
      <c r="I36" s="856"/>
      <c r="J36" s="857"/>
      <c r="K36" s="849"/>
    </row>
    <row r="37" spans="1:226" s="850" customFormat="1" ht="15" hidden="1" customHeight="1">
      <c r="A37" s="1504"/>
      <c r="B37" s="1507"/>
      <c r="C37" s="1541"/>
      <c r="D37" s="1543"/>
      <c r="E37" s="855"/>
      <c r="F37" s="856">
        <f>SUM(G37:J37)</f>
        <v>0</v>
      </c>
      <c r="G37" s="856"/>
      <c r="H37" s="856"/>
      <c r="I37" s="856"/>
      <c r="J37" s="857"/>
      <c r="K37" s="849"/>
    </row>
    <row r="38" spans="1:226" s="850" customFormat="1" ht="24.95" customHeight="1">
      <c r="A38" s="1504"/>
      <c r="B38" s="1507"/>
      <c r="C38" s="1541"/>
      <c r="D38" s="1543"/>
      <c r="E38" s="860" t="s">
        <v>982</v>
      </c>
      <c r="F38" s="861">
        <f>SUM(F39:F42)</f>
        <v>645000</v>
      </c>
      <c r="G38" s="861">
        <f>SUM(G39:G42)</f>
        <v>96750</v>
      </c>
      <c r="H38" s="861">
        <f>SUM(H39:H42)</f>
        <v>0</v>
      </c>
      <c r="I38" s="861">
        <f>SUM(I39:I42)</f>
        <v>548250</v>
      </c>
      <c r="J38" s="862">
        <f>SUM(J39:J42)</f>
        <v>0</v>
      </c>
      <c r="K38" s="849"/>
      <c r="L38" s="849"/>
      <c r="M38" s="849"/>
      <c r="N38" s="849"/>
      <c r="O38" s="849"/>
      <c r="P38" s="849"/>
      <c r="Q38" s="849"/>
      <c r="R38" s="849"/>
      <c r="S38" s="849"/>
      <c r="T38" s="849"/>
      <c r="U38" s="849"/>
      <c r="V38" s="849"/>
      <c r="W38" s="849"/>
      <c r="X38" s="849"/>
      <c r="Y38" s="849"/>
      <c r="Z38" s="849"/>
      <c r="AA38" s="849"/>
      <c r="AB38" s="849"/>
      <c r="AC38" s="849"/>
      <c r="AD38" s="849"/>
      <c r="AE38" s="849"/>
      <c r="AF38" s="849"/>
      <c r="AG38" s="849"/>
      <c r="AH38" s="849"/>
      <c r="AI38" s="849"/>
      <c r="AJ38" s="849"/>
      <c r="AK38" s="849"/>
      <c r="AL38" s="849"/>
      <c r="AM38" s="849"/>
      <c r="AN38" s="849"/>
      <c r="AO38" s="849"/>
      <c r="AP38" s="849"/>
      <c r="AQ38" s="849"/>
      <c r="AR38" s="849"/>
      <c r="AS38" s="849"/>
      <c r="AT38" s="849"/>
      <c r="AU38" s="849"/>
      <c r="AV38" s="849"/>
      <c r="AW38" s="849"/>
      <c r="AX38" s="849"/>
      <c r="AY38" s="849"/>
      <c r="AZ38" s="849"/>
      <c r="BA38" s="849"/>
      <c r="BB38" s="849"/>
      <c r="BC38" s="849"/>
      <c r="BD38" s="849"/>
      <c r="BE38" s="849"/>
      <c r="BF38" s="849"/>
      <c r="BG38" s="849"/>
      <c r="BH38" s="849"/>
      <c r="BI38" s="849"/>
      <c r="BJ38" s="849"/>
      <c r="BK38" s="849"/>
      <c r="BL38" s="849"/>
      <c r="BM38" s="849"/>
      <c r="BN38" s="849"/>
      <c r="BO38" s="849"/>
      <c r="BP38" s="849"/>
      <c r="BQ38" s="849"/>
      <c r="BR38" s="849"/>
      <c r="BS38" s="849"/>
      <c r="BT38" s="849"/>
      <c r="BU38" s="849"/>
      <c r="BV38" s="849"/>
      <c r="BW38" s="849"/>
      <c r="BX38" s="849"/>
      <c r="BY38" s="849"/>
      <c r="BZ38" s="849"/>
      <c r="CA38" s="849"/>
      <c r="CB38" s="849"/>
      <c r="CC38" s="849"/>
      <c r="CD38" s="849"/>
      <c r="CE38" s="849"/>
      <c r="CF38" s="849"/>
      <c r="CG38" s="849"/>
      <c r="CH38" s="849"/>
      <c r="CI38" s="849"/>
      <c r="CJ38" s="849"/>
      <c r="CK38" s="849"/>
      <c r="CL38" s="849"/>
      <c r="CM38" s="849"/>
      <c r="CN38" s="849"/>
      <c r="CO38" s="849"/>
      <c r="CP38" s="849"/>
      <c r="CQ38" s="849"/>
      <c r="CR38" s="849"/>
      <c r="CS38" s="849"/>
      <c r="CT38" s="849"/>
      <c r="CU38" s="849"/>
      <c r="CV38" s="849"/>
      <c r="CW38" s="849"/>
      <c r="CX38" s="849"/>
      <c r="CY38" s="849"/>
      <c r="CZ38" s="849"/>
      <c r="DA38" s="849"/>
      <c r="DB38" s="849"/>
      <c r="DC38" s="849"/>
      <c r="DD38" s="849"/>
      <c r="DE38" s="849"/>
      <c r="DF38" s="849"/>
      <c r="DG38" s="849"/>
      <c r="DH38" s="849"/>
      <c r="DI38" s="849"/>
      <c r="DJ38" s="849"/>
      <c r="DK38" s="849"/>
      <c r="DL38" s="849"/>
      <c r="DM38" s="849"/>
      <c r="DN38" s="849"/>
      <c r="DO38" s="849"/>
      <c r="DP38" s="849"/>
      <c r="DQ38" s="849"/>
      <c r="DR38" s="849"/>
      <c r="DS38" s="849"/>
      <c r="DT38" s="849"/>
      <c r="DU38" s="849"/>
      <c r="DV38" s="849"/>
      <c r="DW38" s="849"/>
      <c r="DX38" s="849"/>
      <c r="DY38" s="849"/>
      <c r="DZ38" s="849"/>
      <c r="EA38" s="849"/>
      <c r="EB38" s="849"/>
      <c r="EC38" s="849"/>
      <c r="ED38" s="849"/>
      <c r="EE38" s="849"/>
      <c r="EF38" s="849"/>
      <c r="EG38" s="849"/>
      <c r="EH38" s="849"/>
      <c r="EI38" s="849"/>
      <c r="EJ38" s="849"/>
      <c r="EK38" s="849"/>
      <c r="EL38" s="849"/>
      <c r="EM38" s="849"/>
      <c r="EN38" s="849"/>
      <c r="EO38" s="849"/>
      <c r="EP38" s="849"/>
      <c r="EQ38" s="849"/>
      <c r="ER38" s="849"/>
      <c r="ES38" s="849"/>
      <c r="ET38" s="849"/>
      <c r="EU38" s="849"/>
      <c r="EV38" s="849"/>
      <c r="EW38" s="849"/>
      <c r="EX38" s="849"/>
      <c r="EY38" s="849"/>
      <c r="EZ38" s="849"/>
      <c r="FA38" s="849"/>
      <c r="FB38" s="849"/>
      <c r="FC38" s="849"/>
      <c r="FD38" s="849"/>
      <c r="FE38" s="849"/>
      <c r="FF38" s="849"/>
      <c r="FG38" s="849"/>
      <c r="FH38" s="849"/>
      <c r="FI38" s="849"/>
      <c r="FJ38" s="849"/>
      <c r="FK38" s="849"/>
      <c r="FL38" s="849"/>
      <c r="FM38" s="849"/>
      <c r="FN38" s="849"/>
      <c r="FO38" s="849"/>
      <c r="FP38" s="849"/>
      <c r="FQ38" s="849"/>
      <c r="FR38" s="849"/>
      <c r="FS38" s="849"/>
      <c r="FT38" s="849"/>
      <c r="FU38" s="849"/>
      <c r="FV38" s="849"/>
      <c r="FW38" s="849"/>
      <c r="FX38" s="849"/>
      <c r="FY38" s="849"/>
      <c r="FZ38" s="849"/>
      <c r="GA38" s="849"/>
      <c r="GB38" s="849"/>
      <c r="GC38" s="849"/>
      <c r="GD38" s="849"/>
      <c r="GE38" s="849"/>
      <c r="GF38" s="849"/>
      <c r="GG38" s="849"/>
      <c r="GH38" s="849"/>
      <c r="GI38" s="849"/>
      <c r="GJ38" s="849"/>
      <c r="GK38" s="849"/>
      <c r="GL38" s="849"/>
      <c r="GM38" s="849"/>
      <c r="GN38" s="849"/>
      <c r="GO38" s="849"/>
      <c r="GP38" s="849"/>
      <c r="GQ38" s="849"/>
      <c r="GR38" s="849"/>
      <c r="GS38" s="849"/>
      <c r="GT38" s="849"/>
      <c r="GU38" s="849"/>
      <c r="GV38" s="849"/>
      <c r="GW38" s="849"/>
      <c r="GX38" s="849"/>
      <c r="GY38" s="849"/>
      <c r="GZ38" s="849"/>
      <c r="HA38" s="849"/>
      <c r="HB38" s="849"/>
      <c r="HC38" s="849"/>
      <c r="HD38" s="849"/>
      <c r="HE38" s="849"/>
      <c r="HF38" s="849"/>
      <c r="HG38" s="849"/>
      <c r="HH38" s="849"/>
      <c r="HI38" s="849"/>
      <c r="HJ38" s="849"/>
      <c r="HK38" s="849"/>
      <c r="HL38" s="849"/>
      <c r="HM38" s="849"/>
      <c r="HN38" s="849"/>
      <c r="HO38" s="849"/>
      <c r="HP38" s="849"/>
      <c r="HQ38" s="849"/>
      <c r="HR38" s="849"/>
    </row>
    <row r="39" spans="1:226" s="850" customFormat="1" ht="15" customHeight="1">
      <c r="A39" s="1504"/>
      <c r="B39" s="1507"/>
      <c r="C39" s="1541"/>
      <c r="D39" s="1543"/>
      <c r="E39" s="855" t="s">
        <v>231</v>
      </c>
      <c r="F39" s="856">
        <f>SUM(G39:J39)</f>
        <v>38250</v>
      </c>
      <c r="G39" s="856"/>
      <c r="H39" s="856"/>
      <c r="I39" s="856">
        <v>38250</v>
      </c>
      <c r="J39" s="857"/>
      <c r="K39" s="849"/>
    </row>
    <row r="40" spans="1:226" s="850" customFormat="1" ht="15" customHeight="1">
      <c r="A40" s="1504"/>
      <c r="B40" s="1507"/>
      <c r="C40" s="1541"/>
      <c r="D40" s="1543"/>
      <c r="E40" s="855" t="s">
        <v>232</v>
      </c>
      <c r="F40" s="856">
        <f>SUM(G40:J40)</f>
        <v>6750</v>
      </c>
      <c r="G40" s="856">
        <v>6750</v>
      </c>
      <c r="H40" s="856"/>
      <c r="I40" s="856"/>
      <c r="J40" s="857"/>
      <c r="K40" s="849"/>
    </row>
    <row r="41" spans="1:226" s="850" customFormat="1" ht="15" customHeight="1">
      <c r="A41" s="1504"/>
      <c r="B41" s="1507"/>
      <c r="C41" s="1541"/>
      <c r="D41" s="1543"/>
      <c r="E41" s="855" t="s">
        <v>410</v>
      </c>
      <c r="F41" s="856">
        <f>SUM(G41:J41)</f>
        <v>510000</v>
      </c>
      <c r="G41" s="856"/>
      <c r="H41" s="856"/>
      <c r="I41" s="856">
        <v>510000</v>
      </c>
      <c r="J41" s="857"/>
      <c r="K41" s="849"/>
    </row>
    <row r="42" spans="1:226" s="850" customFormat="1" ht="15" customHeight="1">
      <c r="A42" s="1504"/>
      <c r="B42" s="1507"/>
      <c r="C42" s="1541"/>
      <c r="D42" s="1543"/>
      <c r="E42" s="855" t="s">
        <v>298</v>
      </c>
      <c r="F42" s="856">
        <f>SUM(G42:J42)</f>
        <v>90000</v>
      </c>
      <c r="G42" s="856">
        <v>90000</v>
      </c>
      <c r="H42" s="856"/>
      <c r="I42" s="856"/>
      <c r="J42" s="857"/>
      <c r="K42" s="849"/>
    </row>
    <row r="43" spans="1:226" s="850" customFormat="1" ht="24.95" customHeight="1">
      <c r="A43" s="1505"/>
      <c r="B43" s="1508"/>
      <c r="C43" s="1517"/>
      <c r="D43" s="1544"/>
      <c r="E43" s="858" t="s">
        <v>977</v>
      </c>
      <c r="F43" s="852">
        <f>SUM(F44:F44)</f>
        <v>0</v>
      </c>
      <c r="G43" s="852">
        <f>SUM(G44:G44)</f>
        <v>0</v>
      </c>
      <c r="H43" s="852">
        <f>SUM(H44:H44)</f>
        <v>0</v>
      </c>
      <c r="I43" s="852">
        <f>SUM(I44:I44)</f>
        <v>0</v>
      </c>
      <c r="J43" s="853">
        <f>SUM(J44:J44)</f>
        <v>0</v>
      </c>
      <c r="K43" s="849"/>
    </row>
    <row r="44" spans="1:226" s="850" customFormat="1" ht="15" hidden="1" customHeight="1">
      <c r="A44" s="898"/>
      <c r="B44" s="899"/>
      <c r="C44" s="900"/>
      <c r="D44" s="901"/>
      <c r="E44" s="855"/>
      <c r="F44" s="856">
        <f>SUM(G44:J44)</f>
        <v>0</v>
      </c>
      <c r="G44" s="856"/>
      <c r="H44" s="856"/>
      <c r="I44" s="856"/>
      <c r="J44" s="857"/>
      <c r="K44" s="849"/>
    </row>
    <row r="45" spans="1:226" s="850" customFormat="1" ht="24.95" customHeight="1">
      <c r="A45" s="1500" t="s">
        <v>998</v>
      </c>
      <c r="B45" s="1501" t="s">
        <v>999</v>
      </c>
      <c r="C45" s="1495">
        <v>750</v>
      </c>
      <c r="D45" s="1502" t="s">
        <v>381</v>
      </c>
      <c r="E45" s="846" t="s">
        <v>976</v>
      </c>
      <c r="F45" s="847">
        <f>SUM(F46,F60)</f>
        <v>270000</v>
      </c>
      <c r="G45" s="847">
        <f>SUM(G46,G60)</f>
        <v>40500</v>
      </c>
      <c r="H45" s="847">
        <f>SUM(H46,H60)</f>
        <v>0</v>
      </c>
      <c r="I45" s="847">
        <f>SUM(I46,I60)</f>
        <v>229500</v>
      </c>
      <c r="J45" s="848">
        <f>SUM(J46,J60)</f>
        <v>0</v>
      </c>
      <c r="K45" s="849"/>
    </row>
    <row r="46" spans="1:226" s="850" customFormat="1" ht="24.95" customHeight="1">
      <c r="A46" s="1500"/>
      <c r="B46" s="1501"/>
      <c r="C46" s="1495"/>
      <c r="D46" s="1502"/>
      <c r="E46" s="851" t="s">
        <v>990</v>
      </c>
      <c r="F46" s="852">
        <f>SUM(F47,F51)</f>
        <v>270000</v>
      </c>
      <c r="G46" s="852">
        <f>SUM(G47,G51)</f>
        <v>40500</v>
      </c>
      <c r="H46" s="852">
        <f>SUM(H47,H51)</f>
        <v>0</v>
      </c>
      <c r="I46" s="852">
        <f>SUM(I47,I51)</f>
        <v>229500</v>
      </c>
      <c r="J46" s="853">
        <f>SUM(J47,J51)</f>
        <v>0</v>
      </c>
      <c r="K46" s="849"/>
    </row>
    <row r="47" spans="1:226" s="850" customFormat="1" ht="24.95" hidden="1" customHeight="1">
      <c r="A47" s="1500"/>
      <c r="B47" s="1501"/>
      <c r="C47" s="1495"/>
      <c r="D47" s="1502"/>
      <c r="E47" s="860" t="s">
        <v>981</v>
      </c>
      <c r="F47" s="861">
        <f>SUM(F48:F50)</f>
        <v>0</v>
      </c>
      <c r="G47" s="861">
        <f>SUM(G48:G50)</f>
        <v>0</v>
      </c>
      <c r="H47" s="861">
        <f>SUM(H48:H50)</f>
        <v>0</v>
      </c>
      <c r="I47" s="861">
        <f>SUM(I48:I50)</f>
        <v>0</v>
      </c>
      <c r="J47" s="862">
        <f>SUM(J48:J50)</f>
        <v>0</v>
      </c>
      <c r="K47" s="849"/>
    </row>
    <row r="48" spans="1:226" s="850" customFormat="1" ht="15" hidden="1" customHeight="1">
      <c r="A48" s="1500"/>
      <c r="B48" s="1501"/>
      <c r="C48" s="1495"/>
      <c r="D48" s="1502"/>
      <c r="E48" s="855"/>
      <c r="F48" s="856">
        <f>SUM(G48:J48)</f>
        <v>0</v>
      </c>
      <c r="G48" s="856"/>
      <c r="H48" s="856"/>
      <c r="I48" s="856"/>
      <c r="J48" s="857"/>
      <c r="K48" s="849"/>
    </row>
    <row r="49" spans="1:226" s="850" customFormat="1" ht="15" hidden="1" customHeight="1">
      <c r="A49" s="1500"/>
      <c r="B49" s="1501"/>
      <c r="C49" s="1495"/>
      <c r="D49" s="1502"/>
      <c r="E49" s="855"/>
      <c r="F49" s="856">
        <f>SUM(G49:J49)</f>
        <v>0</v>
      </c>
      <c r="G49" s="856"/>
      <c r="H49" s="856"/>
      <c r="I49" s="856"/>
      <c r="J49" s="857"/>
      <c r="K49" s="849"/>
    </row>
    <row r="50" spans="1:226" s="850" customFormat="1" ht="15" hidden="1" customHeight="1">
      <c r="A50" s="1500"/>
      <c r="B50" s="1501"/>
      <c r="C50" s="1495"/>
      <c r="D50" s="1502"/>
      <c r="E50" s="855"/>
      <c r="F50" s="856">
        <f>SUM(G50:J50)</f>
        <v>0</v>
      </c>
      <c r="G50" s="856"/>
      <c r="H50" s="856"/>
      <c r="I50" s="856"/>
      <c r="J50" s="857"/>
      <c r="K50" s="849"/>
    </row>
    <row r="51" spans="1:226" s="850" customFormat="1" ht="24.95" customHeight="1">
      <c r="A51" s="1500"/>
      <c r="B51" s="1501"/>
      <c r="C51" s="1495"/>
      <c r="D51" s="1502"/>
      <c r="E51" s="860" t="s">
        <v>982</v>
      </c>
      <c r="F51" s="861">
        <f>SUM(F52:F59)</f>
        <v>270000</v>
      </c>
      <c r="G51" s="861">
        <f>SUM(G52:G59)</f>
        <v>40500</v>
      </c>
      <c r="H51" s="861">
        <f>SUM(H52:H59)</f>
        <v>0</v>
      </c>
      <c r="I51" s="861">
        <f>SUM(I52:I59)</f>
        <v>229500</v>
      </c>
      <c r="J51" s="862">
        <f>SUM(J52:J59)</f>
        <v>0</v>
      </c>
      <c r="K51" s="849"/>
      <c r="L51" s="849"/>
      <c r="M51" s="849"/>
      <c r="N51" s="849"/>
      <c r="O51" s="849"/>
      <c r="P51" s="849"/>
      <c r="Q51" s="849"/>
      <c r="R51" s="849"/>
      <c r="S51" s="849"/>
      <c r="T51" s="849"/>
      <c r="U51" s="849"/>
      <c r="V51" s="849"/>
      <c r="W51" s="849"/>
      <c r="X51" s="849"/>
      <c r="Y51" s="849"/>
      <c r="Z51" s="849"/>
      <c r="AA51" s="849"/>
      <c r="AB51" s="849"/>
      <c r="AC51" s="849"/>
      <c r="AD51" s="849"/>
      <c r="AE51" s="849"/>
      <c r="AF51" s="849"/>
      <c r="AG51" s="849"/>
      <c r="AH51" s="849"/>
      <c r="AI51" s="849"/>
      <c r="AJ51" s="849"/>
      <c r="AK51" s="849"/>
      <c r="AL51" s="849"/>
      <c r="AM51" s="849"/>
      <c r="AN51" s="849"/>
      <c r="AO51" s="849"/>
      <c r="AP51" s="849"/>
      <c r="AQ51" s="849"/>
      <c r="AR51" s="849"/>
      <c r="AS51" s="849"/>
      <c r="AT51" s="849"/>
      <c r="AU51" s="849"/>
      <c r="AV51" s="849"/>
      <c r="AW51" s="849"/>
      <c r="AX51" s="849"/>
      <c r="AY51" s="849"/>
      <c r="AZ51" s="849"/>
      <c r="BA51" s="849"/>
      <c r="BB51" s="849"/>
      <c r="BC51" s="849"/>
      <c r="BD51" s="849"/>
      <c r="BE51" s="849"/>
      <c r="BF51" s="849"/>
      <c r="BG51" s="849"/>
      <c r="BH51" s="849"/>
      <c r="BI51" s="849"/>
      <c r="BJ51" s="849"/>
      <c r="BK51" s="849"/>
      <c r="BL51" s="849"/>
      <c r="BM51" s="849"/>
      <c r="BN51" s="849"/>
      <c r="BO51" s="849"/>
      <c r="BP51" s="849"/>
      <c r="BQ51" s="849"/>
      <c r="BR51" s="849"/>
      <c r="BS51" s="849"/>
      <c r="BT51" s="849"/>
      <c r="BU51" s="849"/>
      <c r="BV51" s="849"/>
      <c r="BW51" s="849"/>
      <c r="BX51" s="849"/>
      <c r="BY51" s="849"/>
      <c r="BZ51" s="849"/>
      <c r="CA51" s="849"/>
      <c r="CB51" s="849"/>
      <c r="CC51" s="849"/>
      <c r="CD51" s="849"/>
      <c r="CE51" s="849"/>
      <c r="CF51" s="849"/>
      <c r="CG51" s="849"/>
      <c r="CH51" s="849"/>
      <c r="CI51" s="849"/>
      <c r="CJ51" s="849"/>
      <c r="CK51" s="849"/>
      <c r="CL51" s="849"/>
      <c r="CM51" s="849"/>
      <c r="CN51" s="849"/>
      <c r="CO51" s="849"/>
      <c r="CP51" s="849"/>
      <c r="CQ51" s="849"/>
      <c r="CR51" s="849"/>
      <c r="CS51" s="849"/>
      <c r="CT51" s="849"/>
      <c r="CU51" s="849"/>
      <c r="CV51" s="849"/>
      <c r="CW51" s="849"/>
      <c r="CX51" s="849"/>
      <c r="CY51" s="849"/>
      <c r="CZ51" s="849"/>
      <c r="DA51" s="849"/>
      <c r="DB51" s="849"/>
      <c r="DC51" s="849"/>
      <c r="DD51" s="849"/>
      <c r="DE51" s="849"/>
      <c r="DF51" s="849"/>
      <c r="DG51" s="849"/>
      <c r="DH51" s="849"/>
      <c r="DI51" s="849"/>
      <c r="DJ51" s="849"/>
      <c r="DK51" s="849"/>
      <c r="DL51" s="849"/>
      <c r="DM51" s="849"/>
      <c r="DN51" s="849"/>
      <c r="DO51" s="849"/>
      <c r="DP51" s="849"/>
      <c r="DQ51" s="849"/>
      <c r="DR51" s="849"/>
      <c r="DS51" s="849"/>
      <c r="DT51" s="849"/>
      <c r="DU51" s="849"/>
      <c r="DV51" s="849"/>
      <c r="DW51" s="849"/>
      <c r="DX51" s="849"/>
      <c r="DY51" s="849"/>
      <c r="DZ51" s="849"/>
      <c r="EA51" s="849"/>
      <c r="EB51" s="849"/>
      <c r="EC51" s="849"/>
      <c r="ED51" s="849"/>
      <c r="EE51" s="849"/>
      <c r="EF51" s="849"/>
      <c r="EG51" s="849"/>
      <c r="EH51" s="849"/>
      <c r="EI51" s="849"/>
      <c r="EJ51" s="849"/>
      <c r="EK51" s="849"/>
      <c r="EL51" s="849"/>
      <c r="EM51" s="849"/>
      <c r="EN51" s="849"/>
      <c r="EO51" s="849"/>
      <c r="EP51" s="849"/>
      <c r="EQ51" s="849"/>
      <c r="ER51" s="849"/>
      <c r="ES51" s="849"/>
      <c r="ET51" s="849"/>
      <c r="EU51" s="849"/>
      <c r="EV51" s="849"/>
      <c r="EW51" s="849"/>
      <c r="EX51" s="849"/>
      <c r="EY51" s="849"/>
      <c r="EZ51" s="849"/>
      <c r="FA51" s="849"/>
      <c r="FB51" s="849"/>
      <c r="FC51" s="849"/>
      <c r="FD51" s="849"/>
      <c r="FE51" s="849"/>
      <c r="FF51" s="849"/>
      <c r="FG51" s="849"/>
      <c r="FH51" s="849"/>
      <c r="FI51" s="849"/>
      <c r="FJ51" s="849"/>
      <c r="FK51" s="849"/>
      <c r="FL51" s="849"/>
      <c r="FM51" s="849"/>
      <c r="FN51" s="849"/>
      <c r="FO51" s="849"/>
      <c r="FP51" s="849"/>
      <c r="FQ51" s="849"/>
      <c r="FR51" s="849"/>
      <c r="FS51" s="849"/>
      <c r="FT51" s="849"/>
      <c r="FU51" s="849"/>
      <c r="FV51" s="849"/>
      <c r="FW51" s="849"/>
      <c r="FX51" s="849"/>
      <c r="FY51" s="849"/>
      <c r="FZ51" s="849"/>
      <c r="GA51" s="849"/>
      <c r="GB51" s="849"/>
      <c r="GC51" s="849"/>
      <c r="GD51" s="849"/>
      <c r="GE51" s="849"/>
      <c r="GF51" s="849"/>
      <c r="GG51" s="849"/>
      <c r="GH51" s="849"/>
      <c r="GI51" s="849"/>
      <c r="GJ51" s="849"/>
      <c r="GK51" s="849"/>
      <c r="GL51" s="849"/>
      <c r="GM51" s="849"/>
      <c r="GN51" s="849"/>
      <c r="GO51" s="849"/>
      <c r="GP51" s="849"/>
      <c r="GQ51" s="849"/>
      <c r="GR51" s="849"/>
      <c r="GS51" s="849"/>
      <c r="GT51" s="849"/>
      <c r="GU51" s="849"/>
      <c r="GV51" s="849"/>
      <c r="GW51" s="849"/>
      <c r="GX51" s="849"/>
      <c r="GY51" s="849"/>
      <c r="GZ51" s="849"/>
      <c r="HA51" s="849"/>
      <c r="HB51" s="849"/>
      <c r="HC51" s="849"/>
      <c r="HD51" s="849"/>
      <c r="HE51" s="849"/>
      <c r="HF51" s="849"/>
      <c r="HG51" s="849"/>
      <c r="HH51" s="849"/>
      <c r="HI51" s="849"/>
      <c r="HJ51" s="849"/>
      <c r="HK51" s="849"/>
      <c r="HL51" s="849"/>
      <c r="HM51" s="849"/>
      <c r="HN51" s="849"/>
      <c r="HO51" s="849"/>
      <c r="HP51" s="849"/>
      <c r="HQ51" s="849"/>
      <c r="HR51" s="849"/>
    </row>
    <row r="52" spans="1:226" s="850" customFormat="1" ht="15" customHeight="1">
      <c r="A52" s="1500"/>
      <c r="B52" s="1501"/>
      <c r="C52" s="1495"/>
      <c r="D52" s="1502"/>
      <c r="E52" s="855" t="s">
        <v>391</v>
      </c>
      <c r="F52" s="856">
        <f>SUM(G52:J52)</f>
        <v>17000</v>
      </c>
      <c r="G52" s="856"/>
      <c r="H52" s="856"/>
      <c r="I52" s="856">
        <v>17000</v>
      </c>
      <c r="J52" s="857"/>
      <c r="K52" s="849"/>
    </row>
    <row r="53" spans="1:226" s="850" customFormat="1" ht="15" customHeight="1">
      <c r="A53" s="1500"/>
      <c r="B53" s="1501"/>
      <c r="C53" s="1495"/>
      <c r="D53" s="1502"/>
      <c r="E53" s="855" t="s">
        <v>393</v>
      </c>
      <c r="F53" s="856">
        <f t="shared" ref="F53:F57" si="1">SUM(G53:J53)</f>
        <v>3000</v>
      </c>
      <c r="G53" s="856">
        <v>3000</v>
      </c>
      <c r="H53" s="856"/>
      <c r="I53" s="856"/>
      <c r="J53" s="857"/>
      <c r="K53" s="849"/>
    </row>
    <row r="54" spans="1:226" s="850" customFormat="1" ht="15" customHeight="1">
      <c r="A54" s="1500"/>
      <c r="B54" s="1501"/>
      <c r="C54" s="1495"/>
      <c r="D54" s="1502"/>
      <c r="E54" s="855" t="s">
        <v>231</v>
      </c>
      <c r="F54" s="856">
        <f t="shared" si="1"/>
        <v>136000</v>
      </c>
      <c r="G54" s="856"/>
      <c r="H54" s="856"/>
      <c r="I54" s="856">
        <v>136000</v>
      </c>
      <c r="J54" s="857"/>
      <c r="K54" s="849"/>
    </row>
    <row r="55" spans="1:226" s="850" customFormat="1" ht="15" customHeight="1">
      <c r="A55" s="1500"/>
      <c r="B55" s="1501"/>
      <c r="C55" s="1495"/>
      <c r="D55" s="1502"/>
      <c r="E55" s="855" t="s">
        <v>232</v>
      </c>
      <c r="F55" s="856">
        <f t="shared" si="1"/>
        <v>24000</v>
      </c>
      <c r="G55" s="856">
        <v>24000</v>
      </c>
      <c r="H55" s="856"/>
      <c r="I55" s="856"/>
      <c r="J55" s="857"/>
      <c r="K55" s="849"/>
    </row>
    <row r="56" spans="1:226" s="850" customFormat="1" ht="15" customHeight="1">
      <c r="A56" s="1500"/>
      <c r="B56" s="1501"/>
      <c r="C56" s="1495"/>
      <c r="D56" s="1502"/>
      <c r="E56" s="855" t="s">
        <v>406</v>
      </c>
      <c r="F56" s="856">
        <f t="shared" si="1"/>
        <v>6035</v>
      </c>
      <c r="G56" s="856"/>
      <c r="H56" s="856"/>
      <c r="I56" s="856">
        <v>6035</v>
      </c>
      <c r="J56" s="857"/>
      <c r="K56" s="849"/>
    </row>
    <row r="57" spans="1:226" s="850" customFormat="1" ht="15" customHeight="1">
      <c r="A57" s="1500"/>
      <c r="B57" s="1501"/>
      <c r="C57" s="1495"/>
      <c r="D57" s="1502"/>
      <c r="E57" s="855" t="s">
        <v>408</v>
      </c>
      <c r="F57" s="856">
        <f t="shared" si="1"/>
        <v>1065</v>
      </c>
      <c r="G57" s="856">
        <v>1065</v>
      </c>
      <c r="H57" s="856"/>
      <c r="I57" s="856"/>
      <c r="J57" s="857"/>
      <c r="K57" s="849"/>
    </row>
    <row r="58" spans="1:226" s="850" customFormat="1" ht="15" customHeight="1">
      <c r="A58" s="1500"/>
      <c r="B58" s="1501"/>
      <c r="C58" s="1495"/>
      <c r="D58" s="1502"/>
      <c r="E58" s="855" t="s">
        <v>410</v>
      </c>
      <c r="F58" s="856">
        <f>SUM(G58:J58)</f>
        <v>70465</v>
      </c>
      <c r="G58" s="856"/>
      <c r="H58" s="856"/>
      <c r="I58" s="856">
        <v>70465</v>
      </c>
      <c r="J58" s="857"/>
      <c r="K58" s="849"/>
    </row>
    <row r="59" spans="1:226" s="850" customFormat="1" ht="15" customHeight="1">
      <c r="A59" s="1500"/>
      <c r="B59" s="1501"/>
      <c r="C59" s="1495"/>
      <c r="D59" s="1502"/>
      <c r="E59" s="855" t="s">
        <v>298</v>
      </c>
      <c r="F59" s="856">
        <f>SUM(G59:J59)</f>
        <v>12435</v>
      </c>
      <c r="G59" s="856">
        <v>12435</v>
      </c>
      <c r="H59" s="856"/>
      <c r="I59" s="856"/>
      <c r="J59" s="857"/>
      <c r="K59" s="849"/>
    </row>
    <row r="60" spans="1:226" s="850" customFormat="1" ht="24.95" customHeight="1">
      <c r="A60" s="1500"/>
      <c r="B60" s="1501"/>
      <c r="C60" s="1495"/>
      <c r="D60" s="1502"/>
      <c r="E60" s="858" t="s">
        <v>977</v>
      </c>
      <c r="F60" s="852">
        <f>SUM(F61:F63)</f>
        <v>0</v>
      </c>
      <c r="G60" s="852">
        <f>SUM(G61:G63)</f>
        <v>0</v>
      </c>
      <c r="H60" s="852">
        <f>SUM(H61:H63)</f>
        <v>0</v>
      </c>
      <c r="I60" s="852">
        <f>SUM(I61:I63)</f>
        <v>0</v>
      </c>
      <c r="J60" s="853">
        <f>SUM(J61:J63)</f>
        <v>0</v>
      </c>
      <c r="K60" s="849"/>
    </row>
    <row r="61" spans="1:226" s="850" customFormat="1" ht="15" hidden="1" customHeight="1">
      <c r="A61" s="1500"/>
      <c r="B61" s="1501"/>
      <c r="C61" s="1495"/>
      <c r="D61" s="1502"/>
      <c r="E61" s="855"/>
      <c r="F61" s="856">
        <f>SUM(G61:J61)</f>
        <v>0</v>
      </c>
      <c r="G61" s="856"/>
      <c r="H61" s="856"/>
      <c r="I61" s="856"/>
      <c r="J61" s="857"/>
      <c r="K61" s="849"/>
    </row>
    <row r="62" spans="1:226" s="850" customFormat="1" ht="15" hidden="1" customHeight="1">
      <c r="A62" s="1500"/>
      <c r="B62" s="1501"/>
      <c r="C62" s="1495"/>
      <c r="D62" s="1502"/>
      <c r="E62" s="855"/>
      <c r="F62" s="856"/>
      <c r="G62" s="856"/>
      <c r="H62" s="856"/>
      <c r="I62" s="856"/>
      <c r="J62" s="857"/>
      <c r="K62" s="849"/>
    </row>
    <row r="63" spans="1:226" s="850" customFormat="1" ht="15" hidden="1" customHeight="1">
      <c r="A63" s="1500"/>
      <c r="B63" s="1501"/>
      <c r="C63" s="1495"/>
      <c r="D63" s="1502"/>
      <c r="E63" s="897"/>
      <c r="F63" s="856">
        <f>SUM(G63:J63)</f>
        <v>0</v>
      </c>
      <c r="G63" s="856"/>
      <c r="H63" s="856"/>
      <c r="I63" s="856"/>
      <c r="J63" s="857"/>
      <c r="K63" s="849"/>
    </row>
    <row r="64" spans="1:226" s="850" customFormat="1" ht="24.95" customHeight="1">
      <c r="A64" s="1503" t="s">
        <v>1000</v>
      </c>
      <c r="B64" s="1552" t="s">
        <v>1001</v>
      </c>
      <c r="C64" s="1516">
        <v>750</v>
      </c>
      <c r="D64" s="1542" t="s">
        <v>381</v>
      </c>
      <c r="E64" s="846" t="s">
        <v>976</v>
      </c>
      <c r="F64" s="847">
        <f>SUM(F65,F79)</f>
        <v>27062047</v>
      </c>
      <c r="G64" s="847">
        <f>SUM(G65,G79)</f>
        <v>4059309</v>
      </c>
      <c r="H64" s="847">
        <f>SUM(H65,H79)</f>
        <v>0</v>
      </c>
      <c r="I64" s="847">
        <f>SUM(I65,I79)</f>
        <v>23002738</v>
      </c>
      <c r="J64" s="848">
        <f>SUM(J65,J79)</f>
        <v>0</v>
      </c>
      <c r="K64" s="849"/>
    </row>
    <row r="65" spans="1:226" s="850" customFormat="1" ht="24.95" customHeight="1">
      <c r="A65" s="1504"/>
      <c r="B65" s="1553"/>
      <c r="C65" s="1541"/>
      <c r="D65" s="1543"/>
      <c r="E65" s="851" t="s">
        <v>990</v>
      </c>
      <c r="F65" s="852">
        <f>SUM(F66,F75)</f>
        <v>27062047</v>
      </c>
      <c r="G65" s="852">
        <f>SUM(G66,G75)</f>
        <v>4059309</v>
      </c>
      <c r="H65" s="852">
        <f>SUM(H66,H75)</f>
        <v>0</v>
      </c>
      <c r="I65" s="852">
        <f>SUM(I66,I75)</f>
        <v>23002738</v>
      </c>
      <c r="J65" s="853">
        <f>SUM(J66,J75)</f>
        <v>0</v>
      </c>
      <c r="K65" s="849"/>
    </row>
    <row r="66" spans="1:226" s="850" customFormat="1" ht="24.95" customHeight="1">
      <c r="A66" s="1504"/>
      <c r="B66" s="1553"/>
      <c r="C66" s="1541"/>
      <c r="D66" s="1543"/>
      <c r="E66" s="860" t="s">
        <v>981</v>
      </c>
      <c r="F66" s="861">
        <f>SUM(F67:F74)</f>
        <v>27062047</v>
      </c>
      <c r="G66" s="861">
        <f t="shared" ref="G66:J66" si="2">SUM(G67:G74)</f>
        <v>4059309</v>
      </c>
      <c r="H66" s="861">
        <f t="shared" si="2"/>
        <v>0</v>
      </c>
      <c r="I66" s="861">
        <f t="shared" si="2"/>
        <v>23002738</v>
      </c>
      <c r="J66" s="862">
        <f t="shared" si="2"/>
        <v>0</v>
      </c>
      <c r="K66" s="849"/>
    </row>
    <row r="67" spans="1:226" s="850" customFormat="1" ht="15" customHeight="1">
      <c r="A67" s="1504"/>
      <c r="B67" s="1553"/>
      <c r="C67" s="1541"/>
      <c r="D67" s="1543"/>
      <c r="E67" s="855" t="s">
        <v>214</v>
      </c>
      <c r="F67" s="856">
        <f>SUM(G67:J67)</f>
        <v>18234513</v>
      </c>
      <c r="G67" s="856"/>
      <c r="H67" s="856"/>
      <c r="I67" s="856">
        <v>18234513</v>
      </c>
      <c r="J67" s="857"/>
      <c r="K67" s="849"/>
    </row>
    <row r="68" spans="1:226" s="850" customFormat="1" ht="15" customHeight="1">
      <c r="A68" s="1504"/>
      <c r="B68" s="1553"/>
      <c r="C68" s="1541"/>
      <c r="D68" s="1543"/>
      <c r="E68" s="855" t="s">
        <v>215</v>
      </c>
      <c r="F68" s="856">
        <f t="shared" ref="F68:F74" si="3">SUM(G68:J68)</f>
        <v>3217856</v>
      </c>
      <c r="G68" s="856">
        <v>3217856</v>
      </c>
      <c r="H68" s="856"/>
      <c r="I68" s="856"/>
      <c r="J68" s="857"/>
      <c r="K68" s="849"/>
    </row>
    <row r="69" spans="1:226" s="850" customFormat="1" ht="15" customHeight="1">
      <c r="A69" s="1504"/>
      <c r="B69" s="1553"/>
      <c r="C69" s="1541"/>
      <c r="D69" s="1543"/>
      <c r="E69" s="855" t="s">
        <v>216</v>
      </c>
      <c r="F69" s="856">
        <f t="shared" si="3"/>
        <v>992117</v>
      </c>
      <c r="G69" s="856"/>
      <c r="H69" s="856"/>
      <c r="I69" s="856">
        <v>992117</v>
      </c>
      <c r="J69" s="857"/>
      <c r="K69" s="849"/>
    </row>
    <row r="70" spans="1:226" s="850" customFormat="1" ht="15" customHeight="1">
      <c r="A70" s="1504"/>
      <c r="B70" s="1553"/>
      <c r="C70" s="1541"/>
      <c r="D70" s="1543"/>
      <c r="E70" s="855" t="s">
        <v>217</v>
      </c>
      <c r="F70" s="856">
        <f t="shared" si="3"/>
        <v>175080</v>
      </c>
      <c r="G70" s="856">
        <v>175080</v>
      </c>
      <c r="H70" s="856"/>
      <c r="I70" s="856"/>
      <c r="J70" s="857"/>
      <c r="K70" s="849"/>
    </row>
    <row r="71" spans="1:226" s="850" customFormat="1" ht="15" customHeight="1">
      <c r="A71" s="1504"/>
      <c r="B71" s="1553"/>
      <c r="C71" s="1541"/>
      <c r="D71" s="1543"/>
      <c r="E71" s="855" t="s">
        <v>218</v>
      </c>
      <c r="F71" s="856">
        <f t="shared" si="3"/>
        <v>3305056</v>
      </c>
      <c r="G71" s="856"/>
      <c r="H71" s="856"/>
      <c r="I71" s="856">
        <v>3305056</v>
      </c>
      <c r="J71" s="857"/>
      <c r="K71" s="849"/>
    </row>
    <row r="72" spans="1:226" s="850" customFormat="1" ht="15" customHeight="1">
      <c r="A72" s="1504"/>
      <c r="B72" s="1553"/>
      <c r="C72" s="1541"/>
      <c r="D72" s="1543"/>
      <c r="E72" s="855" t="s">
        <v>219</v>
      </c>
      <c r="F72" s="856">
        <f t="shared" si="3"/>
        <v>583246</v>
      </c>
      <c r="G72" s="856">
        <v>583246</v>
      </c>
      <c r="H72" s="856"/>
      <c r="I72" s="856"/>
      <c r="J72" s="857"/>
      <c r="K72" s="849"/>
    </row>
    <row r="73" spans="1:226" s="850" customFormat="1" ht="15" customHeight="1">
      <c r="A73" s="1504"/>
      <c r="B73" s="1553"/>
      <c r="C73" s="1541"/>
      <c r="D73" s="1543"/>
      <c r="E73" s="855" t="s">
        <v>220</v>
      </c>
      <c r="F73" s="856">
        <f t="shared" si="3"/>
        <v>471052</v>
      </c>
      <c r="G73" s="856"/>
      <c r="H73" s="856"/>
      <c r="I73" s="856">
        <v>471052</v>
      </c>
      <c r="J73" s="857"/>
      <c r="K73" s="849"/>
    </row>
    <row r="74" spans="1:226" s="850" customFormat="1" ht="15" customHeight="1">
      <c r="A74" s="1504"/>
      <c r="B74" s="1553"/>
      <c r="C74" s="1541"/>
      <c r="D74" s="1543"/>
      <c r="E74" s="855" t="s">
        <v>221</v>
      </c>
      <c r="F74" s="856">
        <f t="shared" si="3"/>
        <v>83127</v>
      </c>
      <c r="G74" s="856">
        <v>83127</v>
      </c>
      <c r="H74" s="856"/>
      <c r="I74" s="856"/>
      <c r="J74" s="857"/>
      <c r="K74" s="849"/>
    </row>
    <row r="75" spans="1:226" s="850" customFormat="1" ht="24.95" hidden="1" customHeight="1">
      <c r="A75" s="1504"/>
      <c r="B75" s="1553"/>
      <c r="C75" s="1541"/>
      <c r="D75" s="1543"/>
      <c r="E75" s="860" t="s">
        <v>982</v>
      </c>
      <c r="F75" s="861">
        <f>SUM(F76:F78)</f>
        <v>0</v>
      </c>
      <c r="G75" s="861">
        <f>SUM(G76:G78)</f>
        <v>0</v>
      </c>
      <c r="H75" s="861">
        <f>SUM(H76:H78)</f>
        <v>0</v>
      </c>
      <c r="I75" s="861">
        <f>SUM(I76:I78)</f>
        <v>0</v>
      </c>
      <c r="J75" s="862">
        <f>SUM(J76:J78)</f>
        <v>0</v>
      </c>
      <c r="K75" s="849"/>
      <c r="L75" s="849"/>
      <c r="M75" s="849"/>
      <c r="N75" s="849"/>
      <c r="O75" s="849"/>
      <c r="P75" s="849"/>
      <c r="Q75" s="849"/>
      <c r="R75" s="849"/>
      <c r="S75" s="849"/>
      <c r="T75" s="849"/>
      <c r="U75" s="849"/>
      <c r="V75" s="849"/>
      <c r="W75" s="849"/>
      <c r="X75" s="849"/>
      <c r="Y75" s="849"/>
      <c r="Z75" s="849"/>
      <c r="AA75" s="849"/>
      <c r="AB75" s="849"/>
      <c r="AC75" s="849"/>
      <c r="AD75" s="849"/>
      <c r="AE75" s="849"/>
      <c r="AF75" s="849"/>
      <c r="AG75" s="849"/>
      <c r="AH75" s="849"/>
      <c r="AI75" s="849"/>
      <c r="AJ75" s="849"/>
      <c r="AK75" s="849"/>
      <c r="AL75" s="849"/>
      <c r="AM75" s="849"/>
      <c r="AN75" s="849"/>
      <c r="AO75" s="849"/>
      <c r="AP75" s="849"/>
      <c r="AQ75" s="849"/>
      <c r="AR75" s="849"/>
      <c r="AS75" s="849"/>
      <c r="AT75" s="849"/>
      <c r="AU75" s="849"/>
      <c r="AV75" s="849"/>
      <c r="AW75" s="849"/>
      <c r="AX75" s="849"/>
      <c r="AY75" s="849"/>
      <c r="AZ75" s="849"/>
      <c r="BA75" s="849"/>
      <c r="BB75" s="849"/>
      <c r="BC75" s="849"/>
      <c r="BD75" s="849"/>
      <c r="BE75" s="849"/>
      <c r="BF75" s="849"/>
      <c r="BG75" s="849"/>
      <c r="BH75" s="849"/>
      <c r="BI75" s="849"/>
      <c r="BJ75" s="849"/>
      <c r="BK75" s="849"/>
      <c r="BL75" s="849"/>
      <c r="BM75" s="849"/>
      <c r="BN75" s="849"/>
      <c r="BO75" s="849"/>
      <c r="BP75" s="849"/>
      <c r="BQ75" s="849"/>
      <c r="BR75" s="849"/>
      <c r="BS75" s="849"/>
      <c r="BT75" s="849"/>
      <c r="BU75" s="849"/>
      <c r="BV75" s="849"/>
      <c r="BW75" s="849"/>
      <c r="BX75" s="849"/>
      <c r="BY75" s="849"/>
      <c r="BZ75" s="849"/>
      <c r="CA75" s="849"/>
      <c r="CB75" s="849"/>
      <c r="CC75" s="849"/>
      <c r="CD75" s="849"/>
      <c r="CE75" s="849"/>
      <c r="CF75" s="849"/>
      <c r="CG75" s="849"/>
      <c r="CH75" s="849"/>
      <c r="CI75" s="849"/>
      <c r="CJ75" s="849"/>
      <c r="CK75" s="849"/>
      <c r="CL75" s="849"/>
      <c r="CM75" s="849"/>
      <c r="CN75" s="849"/>
      <c r="CO75" s="849"/>
      <c r="CP75" s="849"/>
      <c r="CQ75" s="849"/>
      <c r="CR75" s="849"/>
      <c r="CS75" s="849"/>
      <c r="CT75" s="849"/>
      <c r="CU75" s="849"/>
      <c r="CV75" s="849"/>
      <c r="CW75" s="849"/>
      <c r="CX75" s="849"/>
      <c r="CY75" s="849"/>
      <c r="CZ75" s="849"/>
      <c r="DA75" s="849"/>
      <c r="DB75" s="849"/>
      <c r="DC75" s="849"/>
      <c r="DD75" s="849"/>
      <c r="DE75" s="849"/>
      <c r="DF75" s="849"/>
      <c r="DG75" s="849"/>
      <c r="DH75" s="849"/>
      <c r="DI75" s="849"/>
      <c r="DJ75" s="849"/>
      <c r="DK75" s="849"/>
      <c r="DL75" s="849"/>
      <c r="DM75" s="849"/>
      <c r="DN75" s="849"/>
      <c r="DO75" s="849"/>
      <c r="DP75" s="849"/>
      <c r="DQ75" s="849"/>
      <c r="DR75" s="849"/>
      <c r="DS75" s="849"/>
      <c r="DT75" s="849"/>
      <c r="DU75" s="849"/>
      <c r="DV75" s="849"/>
      <c r="DW75" s="849"/>
      <c r="DX75" s="849"/>
      <c r="DY75" s="849"/>
      <c r="DZ75" s="849"/>
      <c r="EA75" s="849"/>
      <c r="EB75" s="849"/>
      <c r="EC75" s="849"/>
      <c r="ED75" s="849"/>
      <c r="EE75" s="849"/>
      <c r="EF75" s="849"/>
      <c r="EG75" s="849"/>
      <c r="EH75" s="849"/>
      <c r="EI75" s="849"/>
      <c r="EJ75" s="849"/>
      <c r="EK75" s="849"/>
      <c r="EL75" s="849"/>
      <c r="EM75" s="849"/>
      <c r="EN75" s="849"/>
      <c r="EO75" s="849"/>
      <c r="EP75" s="849"/>
      <c r="EQ75" s="849"/>
      <c r="ER75" s="849"/>
      <c r="ES75" s="849"/>
      <c r="ET75" s="849"/>
      <c r="EU75" s="849"/>
      <c r="EV75" s="849"/>
      <c r="EW75" s="849"/>
      <c r="EX75" s="849"/>
      <c r="EY75" s="849"/>
      <c r="EZ75" s="849"/>
      <c r="FA75" s="849"/>
      <c r="FB75" s="849"/>
      <c r="FC75" s="849"/>
      <c r="FD75" s="849"/>
      <c r="FE75" s="849"/>
      <c r="FF75" s="849"/>
      <c r="FG75" s="849"/>
      <c r="FH75" s="849"/>
      <c r="FI75" s="849"/>
      <c r="FJ75" s="849"/>
      <c r="FK75" s="849"/>
      <c r="FL75" s="849"/>
      <c r="FM75" s="849"/>
      <c r="FN75" s="849"/>
      <c r="FO75" s="849"/>
      <c r="FP75" s="849"/>
      <c r="FQ75" s="849"/>
      <c r="FR75" s="849"/>
      <c r="FS75" s="849"/>
      <c r="FT75" s="849"/>
      <c r="FU75" s="849"/>
      <c r="FV75" s="849"/>
      <c r="FW75" s="849"/>
      <c r="FX75" s="849"/>
      <c r="FY75" s="849"/>
      <c r="FZ75" s="849"/>
      <c r="GA75" s="849"/>
      <c r="GB75" s="849"/>
      <c r="GC75" s="849"/>
      <c r="GD75" s="849"/>
      <c r="GE75" s="849"/>
      <c r="GF75" s="849"/>
      <c r="GG75" s="849"/>
      <c r="GH75" s="849"/>
      <c r="GI75" s="849"/>
      <c r="GJ75" s="849"/>
      <c r="GK75" s="849"/>
      <c r="GL75" s="849"/>
      <c r="GM75" s="849"/>
      <c r="GN75" s="849"/>
      <c r="GO75" s="849"/>
      <c r="GP75" s="849"/>
      <c r="GQ75" s="849"/>
      <c r="GR75" s="849"/>
      <c r="GS75" s="849"/>
      <c r="GT75" s="849"/>
      <c r="GU75" s="849"/>
      <c r="GV75" s="849"/>
      <c r="GW75" s="849"/>
      <c r="GX75" s="849"/>
      <c r="GY75" s="849"/>
      <c r="GZ75" s="849"/>
      <c r="HA75" s="849"/>
      <c r="HB75" s="849"/>
      <c r="HC75" s="849"/>
      <c r="HD75" s="849"/>
      <c r="HE75" s="849"/>
      <c r="HF75" s="849"/>
      <c r="HG75" s="849"/>
      <c r="HH75" s="849"/>
      <c r="HI75" s="849"/>
      <c r="HJ75" s="849"/>
      <c r="HK75" s="849"/>
      <c r="HL75" s="849"/>
      <c r="HM75" s="849"/>
      <c r="HN75" s="849"/>
      <c r="HO75" s="849"/>
      <c r="HP75" s="849"/>
      <c r="HQ75" s="849"/>
      <c r="HR75" s="849"/>
    </row>
    <row r="76" spans="1:226" s="850" customFormat="1" ht="15" hidden="1" customHeight="1">
      <c r="A76" s="1504"/>
      <c r="B76" s="1553"/>
      <c r="C76" s="1541"/>
      <c r="D76" s="1543"/>
      <c r="E76" s="855"/>
      <c r="F76" s="856">
        <f>SUM(G76:J76)</f>
        <v>0</v>
      </c>
      <c r="G76" s="856"/>
      <c r="H76" s="856"/>
      <c r="I76" s="856"/>
      <c r="J76" s="857"/>
      <c r="K76" s="849"/>
    </row>
    <row r="77" spans="1:226" s="850" customFormat="1" ht="15" hidden="1" customHeight="1">
      <c r="A77" s="1504"/>
      <c r="B77" s="1553"/>
      <c r="C77" s="1541"/>
      <c r="D77" s="1543"/>
      <c r="E77" s="855"/>
      <c r="F77" s="856">
        <f>SUM(G77:J77)</f>
        <v>0</v>
      </c>
      <c r="G77" s="856"/>
      <c r="H77" s="856"/>
      <c r="I77" s="856"/>
      <c r="J77" s="857"/>
      <c r="K77" s="849"/>
    </row>
    <row r="78" spans="1:226" s="850" customFormat="1" ht="15" hidden="1" customHeight="1">
      <c r="A78" s="1504"/>
      <c r="B78" s="1553"/>
      <c r="C78" s="1541"/>
      <c r="D78" s="1543"/>
      <c r="E78" s="855"/>
      <c r="F78" s="856">
        <f>SUM(G78:J78)</f>
        <v>0</v>
      </c>
      <c r="G78" s="856"/>
      <c r="H78" s="856"/>
      <c r="I78" s="856"/>
      <c r="J78" s="857"/>
      <c r="K78" s="849"/>
    </row>
    <row r="79" spans="1:226" s="850" customFormat="1" ht="24.95" customHeight="1">
      <c r="A79" s="1505"/>
      <c r="B79" s="1554"/>
      <c r="C79" s="1517"/>
      <c r="D79" s="1544"/>
      <c r="E79" s="858" t="s">
        <v>977</v>
      </c>
      <c r="F79" s="852">
        <f>SUM(F80:F80)</f>
        <v>0</v>
      </c>
      <c r="G79" s="852">
        <f>SUM(G80:G80)</f>
        <v>0</v>
      </c>
      <c r="H79" s="852">
        <f>SUM(H80:H80)</f>
        <v>0</v>
      </c>
      <c r="I79" s="852">
        <f>SUM(I80:I80)</f>
        <v>0</v>
      </c>
      <c r="J79" s="853">
        <f>SUM(J80:J80)</f>
        <v>0</v>
      </c>
      <c r="K79" s="849"/>
    </row>
    <row r="80" spans="1:226" s="850" customFormat="1" ht="15" hidden="1" customHeight="1">
      <c r="A80" s="898"/>
      <c r="B80" s="899"/>
      <c r="C80" s="900"/>
      <c r="D80" s="901"/>
      <c r="E80" s="868"/>
      <c r="F80" s="869">
        <f>SUM(G80:J80)</f>
        <v>0</v>
      </c>
      <c r="G80" s="869"/>
      <c r="H80" s="869"/>
      <c r="I80" s="869"/>
      <c r="J80" s="870"/>
      <c r="K80" s="849"/>
    </row>
    <row r="81" spans="1:226" s="850" customFormat="1" ht="24.95" customHeight="1">
      <c r="A81" s="1500" t="s">
        <v>1002</v>
      </c>
      <c r="B81" s="1501" t="s">
        <v>1003</v>
      </c>
      <c r="C81" s="1495">
        <v>750</v>
      </c>
      <c r="D81" s="1502" t="s">
        <v>381</v>
      </c>
      <c r="E81" s="846" t="s">
        <v>976</v>
      </c>
      <c r="F81" s="847">
        <f>SUM(F82,F111)</f>
        <v>6190000</v>
      </c>
      <c r="G81" s="847">
        <f>SUM(G82,G111)</f>
        <v>928500</v>
      </c>
      <c r="H81" s="847">
        <f>SUM(H82,H111)</f>
        <v>0</v>
      </c>
      <c r="I81" s="847">
        <f>SUM(I82,I111)</f>
        <v>5261500</v>
      </c>
      <c r="J81" s="848">
        <f>SUM(J82,J111)</f>
        <v>0</v>
      </c>
      <c r="K81" s="849"/>
    </row>
    <row r="82" spans="1:226" s="850" customFormat="1" ht="24.95" customHeight="1">
      <c r="A82" s="1500"/>
      <c r="B82" s="1501"/>
      <c r="C82" s="1495"/>
      <c r="D82" s="1502"/>
      <c r="E82" s="851" t="s">
        <v>990</v>
      </c>
      <c r="F82" s="852">
        <f>SUM(F83,F90)</f>
        <v>5290000</v>
      </c>
      <c r="G82" s="852">
        <f>SUM(G83,G90)</f>
        <v>793500</v>
      </c>
      <c r="H82" s="852">
        <f>SUM(H83,H90)</f>
        <v>0</v>
      </c>
      <c r="I82" s="852">
        <f>SUM(I83,I90)</f>
        <v>4496500</v>
      </c>
      <c r="J82" s="853">
        <f>SUM(J83,J90)</f>
        <v>0</v>
      </c>
      <c r="K82" s="849"/>
    </row>
    <row r="83" spans="1:226" s="850" customFormat="1" ht="24.95" customHeight="1">
      <c r="A83" s="1500"/>
      <c r="B83" s="1501"/>
      <c r="C83" s="1495"/>
      <c r="D83" s="1502"/>
      <c r="E83" s="860" t="s">
        <v>981</v>
      </c>
      <c r="F83" s="861">
        <f>SUM(F84:F89)</f>
        <v>3230000</v>
      </c>
      <c r="G83" s="861">
        <f t="shared" ref="G83:J83" si="4">SUM(G84:G89)</f>
        <v>484500</v>
      </c>
      <c r="H83" s="861">
        <f t="shared" si="4"/>
        <v>0</v>
      </c>
      <c r="I83" s="861">
        <f t="shared" si="4"/>
        <v>2745500</v>
      </c>
      <c r="J83" s="862">
        <f t="shared" si="4"/>
        <v>0</v>
      </c>
      <c r="K83" s="849"/>
    </row>
    <row r="84" spans="1:226" s="850" customFormat="1" ht="15" customHeight="1">
      <c r="A84" s="1500"/>
      <c r="B84" s="1501"/>
      <c r="C84" s="1495"/>
      <c r="D84" s="1502"/>
      <c r="E84" s="855" t="s">
        <v>218</v>
      </c>
      <c r="F84" s="856">
        <f t="shared" ref="F84:F89" si="5">SUM(G84:J84)</f>
        <v>83300</v>
      </c>
      <c r="G84" s="856"/>
      <c r="H84" s="856"/>
      <c r="I84" s="856">
        <v>83300</v>
      </c>
      <c r="J84" s="857"/>
      <c r="K84" s="849"/>
    </row>
    <row r="85" spans="1:226" s="850" customFormat="1" ht="15" customHeight="1">
      <c r="A85" s="1500"/>
      <c r="B85" s="1501"/>
      <c r="C85" s="1495"/>
      <c r="D85" s="1502"/>
      <c r="E85" s="855" t="s">
        <v>219</v>
      </c>
      <c r="F85" s="856">
        <f t="shared" si="5"/>
        <v>14700</v>
      </c>
      <c r="G85" s="856">
        <v>14700</v>
      </c>
      <c r="H85" s="856"/>
      <c r="I85" s="856"/>
      <c r="J85" s="857"/>
      <c r="K85" s="849"/>
    </row>
    <row r="86" spans="1:226" s="850" customFormat="1" ht="15" customHeight="1">
      <c r="A86" s="1500"/>
      <c r="B86" s="1501"/>
      <c r="C86" s="1495"/>
      <c r="D86" s="1502"/>
      <c r="E86" s="855" t="s">
        <v>220</v>
      </c>
      <c r="F86" s="856">
        <f t="shared" si="5"/>
        <v>11900</v>
      </c>
      <c r="G86" s="856"/>
      <c r="H86" s="856"/>
      <c r="I86" s="856">
        <v>11900</v>
      </c>
      <c r="J86" s="857"/>
      <c r="K86" s="849"/>
    </row>
    <row r="87" spans="1:226" s="850" customFormat="1" ht="15" customHeight="1">
      <c r="A87" s="1500"/>
      <c r="B87" s="1501"/>
      <c r="C87" s="1495"/>
      <c r="D87" s="1502"/>
      <c r="E87" s="855" t="s">
        <v>221</v>
      </c>
      <c r="F87" s="856">
        <f t="shared" si="5"/>
        <v>2100</v>
      </c>
      <c r="G87" s="856">
        <v>2100</v>
      </c>
      <c r="H87" s="856"/>
      <c r="I87" s="856"/>
      <c r="J87" s="857"/>
      <c r="K87" s="849"/>
    </row>
    <row r="88" spans="1:226" s="850" customFormat="1" ht="15" customHeight="1">
      <c r="A88" s="1500"/>
      <c r="B88" s="1501"/>
      <c r="C88" s="1495"/>
      <c r="D88" s="1502"/>
      <c r="E88" s="855" t="s">
        <v>222</v>
      </c>
      <c r="F88" s="856">
        <f t="shared" si="5"/>
        <v>2650300</v>
      </c>
      <c r="G88" s="856"/>
      <c r="H88" s="856"/>
      <c r="I88" s="856">
        <v>2650300</v>
      </c>
      <c r="J88" s="857"/>
      <c r="K88" s="849"/>
    </row>
    <row r="89" spans="1:226" s="850" customFormat="1" ht="15" customHeight="1">
      <c r="A89" s="1500"/>
      <c r="B89" s="1501"/>
      <c r="C89" s="1495"/>
      <c r="D89" s="1502"/>
      <c r="E89" s="855" t="s">
        <v>223</v>
      </c>
      <c r="F89" s="856">
        <f t="shared" si="5"/>
        <v>467700</v>
      </c>
      <c r="G89" s="856">
        <v>467700</v>
      </c>
      <c r="H89" s="856"/>
      <c r="I89" s="856"/>
      <c r="J89" s="857"/>
      <c r="K89" s="849"/>
    </row>
    <row r="90" spans="1:226" s="850" customFormat="1" ht="24.95" customHeight="1">
      <c r="A90" s="1500"/>
      <c r="B90" s="1501"/>
      <c r="C90" s="1495"/>
      <c r="D90" s="1502"/>
      <c r="E90" s="860" t="s">
        <v>982</v>
      </c>
      <c r="F90" s="861">
        <f>SUM(F91:F110)</f>
        <v>2060000</v>
      </c>
      <c r="G90" s="861">
        <f t="shared" ref="G90:J90" si="6">SUM(G91:G110)</f>
        <v>309000</v>
      </c>
      <c r="H90" s="861">
        <f t="shared" si="6"/>
        <v>0</v>
      </c>
      <c r="I90" s="861">
        <f t="shared" si="6"/>
        <v>1751000</v>
      </c>
      <c r="J90" s="862">
        <f t="shared" si="6"/>
        <v>0</v>
      </c>
      <c r="K90" s="849"/>
      <c r="L90" s="849"/>
      <c r="M90" s="849"/>
      <c r="N90" s="849"/>
      <c r="O90" s="849"/>
      <c r="P90" s="849"/>
      <c r="Q90" s="849"/>
      <c r="R90" s="849"/>
      <c r="S90" s="849"/>
      <c r="T90" s="849"/>
      <c r="U90" s="849"/>
      <c r="V90" s="849"/>
      <c r="W90" s="849"/>
      <c r="X90" s="849"/>
      <c r="Y90" s="849"/>
      <c r="Z90" s="849"/>
      <c r="AA90" s="849"/>
      <c r="AB90" s="849"/>
      <c r="AC90" s="849"/>
      <c r="AD90" s="849"/>
      <c r="AE90" s="849"/>
      <c r="AF90" s="849"/>
      <c r="AG90" s="849"/>
      <c r="AH90" s="849"/>
      <c r="AI90" s="849"/>
      <c r="AJ90" s="849"/>
      <c r="AK90" s="849"/>
      <c r="AL90" s="849"/>
      <c r="AM90" s="849"/>
      <c r="AN90" s="849"/>
      <c r="AO90" s="849"/>
      <c r="AP90" s="849"/>
      <c r="AQ90" s="849"/>
      <c r="AR90" s="849"/>
      <c r="AS90" s="849"/>
      <c r="AT90" s="849"/>
      <c r="AU90" s="849"/>
      <c r="AV90" s="849"/>
      <c r="AW90" s="849"/>
      <c r="AX90" s="849"/>
      <c r="AY90" s="849"/>
      <c r="AZ90" s="849"/>
      <c r="BA90" s="849"/>
      <c r="BB90" s="849"/>
      <c r="BC90" s="849"/>
      <c r="BD90" s="849"/>
      <c r="BE90" s="849"/>
      <c r="BF90" s="849"/>
      <c r="BG90" s="849"/>
      <c r="BH90" s="849"/>
      <c r="BI90" s="849"/>
      <c r="BJ90" s="849"/>
      <c r="BK90" s="849"/>
      <c r="BL90" s="849"/>
      <c r="BM90" s="849"/>
      <c r="BN90" s="849"/>
      <c r="BO90" s="849"/>
      <c r="BP90" s="849"/>
      <c r="BQ90" s="849"/>
      <c r="BR90" s="849"/>
      <c r="BS90" s="849"/>
      <c r="BT90" s="849"/>
      <c r="BU90" s="849"/>
      <c r="BV90" s="849"/>
      <c r="BW90" s="849"/>
      <c r="BX90" s="849"/>
      <c r="BY90" s="849"/>
      <c r="BZ90" s="849"/>
      <c r="CA90" s="849"/>
      <c r="CB90" s="849"/>
      <c r="CC90" s="849"/>
      <c r="CD90" s="849"/>
      <c r="CE90" s="849"/>
      <c r="CF90" s="849"/>
      <c r="CG90" s="849"/>
      <c r="CH90" s="849"/>
      <c r="CI90" s="849"/>
      <c r="CJ90" s="849"/>
      <c r="CK90" s="849"/>
      <c r="CL90" s="849"/>
      <c r="CM90" s="849"/>
      <c r="CN90" s="849"/>
      <c r="CO90" s="849"/>
      <c r="CP90" s="849"/>
      <c r="CQ90" s="849"/>
      <c r="CR90" s="849"/>
      <c r="CS90" s="849"/>
      <c r="CT90" s="849"/>
      <c r="CU90" s="849"/>
      <c r="CV90" s="849"/>
      <c r="CW90" s="849"/>
      <c r="CX90" s="849"/>
      <c r="CY90" s="849"/>
      <c r="CZ90" s="849"/>
      <c r="DA90" s="849"/>
      <c r="DB90" s="849"/>
      <c r="DC90" s="849"/>
      <c r="DD90" s="849"/>
      <c r="DE90" s="849"/>
      <c r="DF90" s="849"/>
      <c r="DG90" s="849"/>
      <c r="DH90" s="849"/>
      <c r="DI90" s="849"/>
      <c r="DJ90" s="849"/>
      <c r="DK90" s="849"/>
      <c r="DL90" s="849"/>
      <c r="DM90" s="849"/>
      <c r="DN90" s="849"/>
      <c r="DO90" s="849"/>
      <c r="DP90" s="849"/>
      <c r="DQ90" s="849"/>
      <c r="DR90" s="849"/>
      <c r="DS90" s="849"/>
      <c r="DT90" s="849"/>
      <c r="DU90" s="849"/>
      <c r="DV90" s="849"/>
      <c r="DW90" s="849"/>
      <c r="DX90" s="849"/>
      <c r="DY90" s="849"/>
      <c r="DZ90" s="849"/>
      <c r="EA90" s="849"/>
      <c r="EB90" s="849"/>
      <c r="EC90" s="849"/>
      <c r="ED90" s="849"/>
      <c r="EE90" s="849"/>
      <c r="EF90" s="849"/>
      <c r="EG90" s="849"/>
      <c r="EH90" s="849"/>
      <c r="EI90" s="849"/>
      <c r="EJ90" s="849"/>
      <c r="EK90" s="849"/>
      <c r="EL90" s="849"/>
      <c r="EM90" s="849"/>
      <c r="EN90" s="849"/>
      <c r="EO90" s="849"/>
      <c r="EP90" s="849"/>
      <c r="EQ90" s="849"/>
      <c r="ER90" s="849"/>
      <c r="ES90" s="849"/>
      <c r="ET90" s="849"/>
      <c r="EU90" s="849"/>
      <c r="EV90" s="849"/>
      <c r="EW90" s="849"/>
      <c r="EX90" s="849"/>
      <c r="EY90" s="849"/>
      <c r="EZ90" s="849"/>
      <c r="FA90" s="849"/>
      <c r="FB90" s="849"/>
      <c r="FC90" s="849"/>
      <c r="FD90" s="849"/>
      <c r="FE90" s="849"/>
      <c r="FF90" s="849"/>
      <c r="FG90" s="849"/>
      <c r="FH90" s="849"/>
      <c r="FI90" s="849"/>
      <c r="FJ90" s="849"/>
      <c r="FK90" s="849"/>
      <c r="FL90" s="849"/>
      <c r="FM90" s="849"/>
      <c r="FN90" s="849"/>
      <c r="FO90" s="849"/>
      <c r="FP90" s="849"/>
      <c r="FQ90" s="849"/>
      <c r="FR90" s="849"/>
      <c r="FS90" s="849"/>
      <c r="FT90" s="849"/>
      <c r="FU90" s="849"/>
      <c r="FV90" s="849"/>
      <c r="FW90" s="849"/>
      <c r="FX90" s="849"/>
      <c r="FY90" s="849"/>
      <c r="FZ90" s="849"/>
      <c r="GA90" s="849"/>
      <c r="GB90" s="849"/>
      <c r="GC90" s="849"/>
      <c r="GD90" s="849"/>
      <c r="GE90" s="849"/>
      <c r="GF90" s="849"/>
      <c r="GG90" s="849"/>
      <c r="GH90" s="849"/>
      <c r="GI90" s="849"/>
      <c r="GJ90" s="849"/>
      <c r="GK90" s="849"/>
      <c r="GL90" s="849"/>
      <c r="GM90" s="849"/>
      <c r="GN90" s="849"/>
      <c r="GO90" s="849"/>
      <c r="GP90" s="849"/>
      <c r="GQ90" s="849"/>
      <c r="GR90" s="849"/>
      <c r="GS90" s="849"/>
      <c r="GT90" s="849"/>
      <c r="GU90" s="849"/>
      <c r="GV90" s="849"/>
      <c r="GW90" s="849"/>
      <c r="GX90" s="849"/>
      <c r="GY90" s="849"/>
      <c r="GZ90" s="849"/>
      <c r="HA90" s="849"/>
      <c r="HB90" s="849"/>
      <c r="HC90" s="849"/>
      <c r="HD90" s="849"/>
      <c r="HE90" s="849"/>
      <c r="HF90" s="849"/>
      <c r="HG90" s="849"/>
      <c r="HH90" s="849"/>
      <c r="HI90" s="849"/>
      <c r="HJ90" s="849"/>
      <c r="HK90" s="849"/>
      <c r="HL90" s="849"/>
      <c r="HM90" s="849"/>
      <c r="HN90" s="849"/>
      <c r="HO90" s="849"/>
      <c r="HP90" s="849"/>
      <c r="HQ90" s="849"/>
      <c r="HR90" s="849"/>
    </row>
    <row r="91" spans="1:226" s="850" customFormat="1" ht="15" customHeight="1">
      <c r="A91" s="1500"/>
      <c r="B91" s="1501"/>
      <c r="C91" s="1495"/>
      <c r="D91" s="1502"/>
      <c r="E91" s="855" t="s">
        <v>389</v>
      </c>
      <c r="F91" s="856">
        <f>SUM(G91:J91)</f>
        <v>51000</v>
      </c>
      <c r="G91" s="856"/>
      <c r="H91" s="856"/>
      <c r="I91" s="856">
        <v>51000</v>
      </c>
      <c r="J91" s="857"/>
      <c r="K91" s="849"/>
    </row>
    <row r="92" spans="1:226" s="850" customFormat="1" ht="15" customHeight="1">
      <c r="A92" s="1500"/>
      <c r="B92" s="1501"/>
      <c r="C92" s="1495"/>
      <c r="D92" s="1502"/>
      <c r="E92" s="855" t="s">
        <v>390</v>
      </c>
      <c r="F92" s="856">
        <f t="shared" ref="F92:F110" si="7">SUM(G92:J92)</f>
        <v>9000</v>
      </c>
      <c r="G92" s="856">
        <v>9000</v>
      </c>
      <c r="H92" s="856"/>
      <c r="I92" s="856"/>
      <c r="J92" s="857"/>
      <c r="K92" s="849"/>
    </row>
    <row r="93" spans="1:226" s="850" customFormat="1" ht="15" customHeight="1">
      <c r="A93" s="1500"/>
      <c r="B93" s="1501"/>
      <c r="C93" s="1495"/>
      <c r="D93" s="1502"/>
      <c r="E93" s="855" t="s">
        <v>227</v>
      </c>
      <c r="F93" s="856">
        <f t="shared" si="7"/>
        <v>425000</v>
      </c>
      <c r="G93" s="856"/>
      <c r="H93" s="856"/>
      <c r="I93" s="856">
        <v>425000</v>
      </c>
      <c r="J93" s="857"/>
      <c r="K93" s="849"/>
    </row>
    <row r="94" spans="1:226" s="850" customFormat="1" ht="15" customHeight="1">
      <c r="A94" s="1500"/>
      <c r="B94" s="1501"/>
      <c r="C94" s="1495"/>
      <c r="D94" s="1502"/>
      <c r="E94" s="855" t="s">
        <v>228</v>
      </c>
      <c r="F94" s="856">
        <f t="shared" si="7"/>
        <v>75000</v>
      </c>
      <c r="G94" s="856">
        <v>75000</v>
      </c>
      <c r="H94" s="856"/>
      <c r="I94" s="856"/>
      <c r="J94" s="857"/>
      <c r="K94" s="849"/>
    </row>
    <row r="95" spans="1:226" s="850" customFormat="1" ht="15" customHeight="1">
      <c r="A95" s="1500"/>
      <c r="B95" s="1501"/>
      <c r="C95" s="1495"/>
      <c r="D95" s="1502"/>
      <c r="E95" s="855" t="s">
        <v>398</v>
      </c>
      <c r="F95" s="856">
        <f t="shared" si="7"/>
        <v>348500</v>
      </c>
      <c r="G95" s="856"/>
      <c r="H95" s="856"/>
      <c r="I95" s="856">
        <v>348500</v>
      </c>
      <c r="J95" s="857"/>
      <c r="K95" s="849"/>
    </row>
    <row r="96" spans="1:226" s="850" customFormat="1" ht="15" customHeight="1">
      <c r="A96" s="1500"/>
      <c r="B96" s="1501"/>
      <c r="C96" s="1495"/>
      <c r="D96" s="1502"/>
      <c r="E96" s="855" t="s">
        <v>399</v>
      </c>
      <c r="F96" s="856">
        <f t="shared" si="7"/>
        <v>61500</v>
      </c>
      <c r="G96" s="856">
        <v>61500</v>
      </c>
      <c r="H96" s="856"/>
      <c r="I96" s="856"/>
      <c r="J96" s="857"/>
      <c r="K96" s="849"/>
    </row>
    <row r="97" spans="1:11" s="850" customFormat="1" ht="15" customHeight="1">
      <c r="A97" s="1500"/>
      <c r="B97" s="1501"/>
      <c r="C97" s="1495"/>
      <c r="D97" s="1502"/>
      <c r="E97" s="855" t="s">
        <v>400</v>
      </c>
      <c r="F97" s="856">
        <f t="shared" si="7"/>
        <v>34000</v>
      </c>
      <c r="G97" s="856"/>
      <c r="H97" s="856"/>
      <c r="I97" s="856">
        <v>34000</v>
      </c>
      <c r="J97" s="857"/>
      <c r="K97" s="849"/>
    </row>
    <row r="98" spans="1:11" s="850" customFormat="1" ht="15" customHeight="1">
      <c r="A98" s="1500"/>
      <c r="B98" s="1501"/>
      <c r="C98" s="1495"/>
      <c r="D98" s="1502"/>
      <c r="E98" s="855" t="s">
        <v>401</v>
      </c>
      <c r="F98" s="856">
        <f t="shared" si="7"/>
        <v>6000</v>
      </c>
      <c r="G98" s="856">
        <v>6000</v>
      </c>
      <c r="H98" s="856"/>
      <c r="I98" s="856"/>
      <c r="J98" s="857"/>
      <c r="K98" s="849"/>
    </row>
    <row r="99" spans="1:11" s="850" customFormat="1" ht="15" customHeight="1">
      <c r="A99" s="1500"/>
      <c r="B99" s="1501"/>
      <c r="C99" s="1495"/>
      <c r="D99" s="1502"/>
      <c r="E99" s="855" t="s">
        <v>231</v>
      </c>
      <c r="F99" s="856">
        <f t="shared" si="7"/>
        <v>331500</v>
      </c>
      <c r="G99" s="856"/>
      <c r="H99" s="856"/>
      <c r="I99" s="856">
        <v>331500</v>
      </c>
      <c r="J99" s="857"/>
      <c r="K99" s="849"/>
    </row>
    <row r="100" spans="1:11" s="850" customFormat="1" ht="15" customHeight="1">
      <c r="A100" s="1500"/>
      <c r="B100" s="1501"/>
      <c r="C100" s="1495"/>
      <c r="D100" s="1502"/>
      <c r="E100" s="855" t="s">
        <v>232</v>
      </c>
      <c r="F100" s="856">
        <f t="shared" si="7"/>
        <v>58500</v>
      </c>
      <c r="G100" s="856">
        <v>58500</v>
      </c>
      <c r="H100" s="856"/>
      <c r="I100" s="856"/>
      <c r="J100" s="857"/>
      <c r="K100" s="849"/>
    </row>
    <row r="101" spans="1:11" s="850" customFormat="1" ht="15" customHeight="1">
      <c r="A101" s="1500"/>
      <c r="B101" s="1501"/>
      <c r="C101" s="1495"/>
      <c r="D101" s="1502"/>
      <c r="E101" s="855" t="s">
        <v>410</v>
      </c>
      <c r="F101" s="856">
        <f t="shared" si="7"/>
        <v>42500</v>
      </c>
      <c r="G101" s="856"/>
      <c r="H101" s="856"/>
      <c r="I101" s="856">
        <v>42500</v>
      </c>
      <c r="J101" s="857"/>
      <c r="K101" s="849"/>
    </row>
    <row r="102" spans="1:11" s="850" customFormat="1" ht="15" customHeight="1">
      <c r="A102" s="1500"/>
      <c r="B102" s="1501"/>
      <c r="C102" s="1495"/>
      <c r="D102" s="1502"/>
      <c r="E102" s="855" t="s">
        <v>298</v>
      </c>
      <c r="F102" s="856">
        <f t="shared" si="7"/>
        <v>7500</v>
      </c>
      <c r="G102" s="856">
        <v>7500</v>
      </c>
      <c r="H102" s="856"/>
      <c r="I102" s="856"/>
      <c r="J102" s="857"/>
      <c r="K102" s="849"/>
    </row>
    <row r="103" spans="1:11" s="850" customFormat="1" ht="15" customHeight="1">
      <c r="A103" s="1500"/>
      <c r="B103" s="1501"/>
      <c r="C103" s="1495"/>
      <c r="D103" s="1502"/>
      <c r="E103" s="855" t="s">
        <v>233</v>
      </c>
      <c r="F103" s="856">
        <f t="shared" si="7"/>
        <v>144500</v>
      </c>
      <c r="G103" s="856"/>
      <c r="H103" s="856"/>
      <c r="I103" s="856">
        <v>144500</v>
      </c>
      <c r="J103" s="857"/>
      <c r="K103" s="849"/>
    </row>
    <row r="104" spans="1:11" s="850" customFormat="1" ht="15" customHeight="1">
      <c r="A104" s="1500"/>
      <c r="B104" s="1501"/>
      <c r="C104" s="1495"/>
      <c r="D104" s="1502"/>
      <c r="E104" s="855" t="s">
        <v>234</v>
      </c>
      <c r="F104" s="856">
        <f t="shared" si="7"/>
        <v>25500</v>
      </c>
      <c r="G104" s="856">
        <v>25500</v>
      </c>
      <c r="H104" s="856"/>
      <c r="I104" s="856"/>
      <c r="J104" s="857"/>
      <c r="K104" s="849"/>
    </row>
    <row r="105" spans="1:11" s="850" customFormat="1" ht="15" customHeight="1">
      <c r="A105" s="1500"/>
      <c r="B105" s="1501"/>
      <c r="C105" s="1495"/>
      <c r="D105" s="1502"/>
      <c r="E105" s="855" t="s">
        <v>419</v>
      </c>
      <c r="F105" s="856">
        <f t="shared" si="7"/>
        <v>68000</v>
      </c>
      <c r="G105" s="856"/>
      <c r="H105" s="856"/>
      <c r="I105" s="856">
        <v>68000</v>
      </c>
      <c r="J105" s="857"/>
      <c r="K105" s="849"/>
    </row>
    <row r="106" spans="1:11" s="850" customFormat="1" ht="15" customHeight="1">
      <c r="A106" s="1500"/>
      <c r="B106" s="1501"/>
      <c r="C106" s="1495"/>
      <c r="D106" s="1502"/>
      <c r="E106" s="855" t="s">
        <v>341</v>
      </c>
      <c r="F106" s="856">
        <f t="shared" si="7"/>
        <v>12000</v>
      </c>
      <c r="G106" s="856">
        <v>12000</v>
      </c>
      <c r="H106" s="856"/>
      <c r="I106" s="856"/>
      <c r="J106" s="857"/>
      <c r="K106" s="849"/>
    </row>
    <row r="107" spans="1:11" s="850" customFormat="1" ht="15" customHeight="1">
      <c r="A107" s="1500"/>
      <c r="B107" s="1501"/>
      <c r="C107" s="1495"/>
      <c r="D107" s="1502"/>
      <c r="E107" s="855" t="s">
        <v>420</v>
      </c>
      <c r="F107" s="856">
        <f t="shared" si="7"/>
        <v>34000</v>
      </c>
      <c r="G107" s="856"/>
      <c r="H107" s="856"/>
      <c r="I107" s="856">
        <v>34000</v>
      </c>
      <c r="J107" s="857"/>
      <c r="K107" s="849"/>
    </row>
    <row r="108" spans="1:11" s="850" customFormat="1" ht="15" customHeight="1">
      <c r="A108" s="1500"/>
      <c r="B108" s="1501"/>
      <c r="C108" s="1495"/>
      <c r="D108" s="1502"/>
      <c r="E108" s="855" t="s">
        <v>421</v>
      </c>
      <c r="F108" s="856">
        <f t="shared" si="7"/>
        <v>6000</v>
      </c>
      <c r="G108" s="856">
        <v>6000</v>
      </c>
      <c r="H108" s="856"/>
      <c r="I108" s="856"/>
      <c r="J108" s="857"/>
      <c r="K108" s="849"/>
    </row>
    <row r="109" spans="1:11" s="850" customFormat="1" ht="15" customHeight="1">
      <c r="A109" s="1500"/>
      <c r="B109" s="1501"/>
      <c r="C109" s="1495"/>
      <c r="D109" s="1502"/>
      <c r="E109" s="855" t="s">
        <v>237</v>
      </c>
      <c r="F109" s="856">
        <f t="shared" si="7"/>
        <v>272000</v>
      </c>
      <c r="G109" s="856"/>
      <c r="H109" s="856"/>
      <c r="I109" s="856">
        <v>272000</v>
      </c>
      <c r="J109" s="857"/>
      <c r="K109" s="849"/>
    </row>
    <row r="110" spans="1:11" s="850" customFormat="1" ht="15" customHeight="1">
      <c r="A110" s="1500"/>
      <c r="B110" s="1501"/>
      <c r="C110" s="1495"/>
      <c r="D110" s="1502"/>
      <c r="E110" s="855" t="s">
        <v>238</v>
      </c>
      <c r="F110" s="856">
        <f t="shared" si="7"/>
        <v>48000</v>
      </c>
      <c r="G110" s="856">
        <v>48000</v>
      </c>
      <c r="H110" s="856"/>
      <c r="I110" s="856"/>
      <c r="J110" s="857"/>
      <c r="K110" s="849"/>
    </row>
    <row r="111" spans="1:11" s="850" customFormat="1" ht="24.75" customHeight="1">
      <c r="A111" s="1500"/>
      <c r="B111" s="1501"/>
      <c r="C111" s="1495"/>
      <c r="D111" s="1502"/>
      <c r="E111" s="858" t="s">
        <v>977</v>
      </c>
      <c r="F111" s="852">
        <f>SUM(F112:F114)</f>
        <v>900000</v>
      </c>
      <c r="G111" s="852">
        <f>SUM(G112:G114)</f>
        <v>135000</v>
      </c>
      <c r="H111" s="852">
        <f>SUM(H112:H114)</f>
        <v>0</v>
      </c>
      <c r="I111" s="852">
        <f>SUM(I112:I114)</f>
        <v>765000</v>
      </c>
      <c r="J111" s="853">
        <f>SUM(J112:J114)</f>
        <v>0</v>
      </c>
      <c r="K111" s="849"/>
    </row>
    <row r="112" spans="1:11" s="850" customFormat="1" ht="15" hidden="1" customHeight="1">
      <c r="A112" s="1500"/>
      <c r="B112" s="1501"/>
      <c r="C112" s="1495"/>
      <c r="D112" s="1502"/>
      <c r="E112" s="855"/>
      <c r="F112" s="856">
        <f>SUM(G112:J112)</f>
        <v>0</v>
      </c>
      <c r="G112" s="856"/>
      <c r="H112" s="856"/>
      <c r="I112" s="856"/>
      <c r="J112" s="857"/>
      <c r="K112" s="849"/>
    </row>
    <row r="113" spans="1:226" s="850" customFormat="1" ht="15" customHeight="1">
      <c r="A113" s="1500"/>
      <c r="B113" s="1501"/>
      <c r="C113" s="1495"/>
      <c r="D113" s="1502"/>
      <c r="E113" s="855" t="s">
        <v>273</v>
      </c>
      <c r="F113" s="856">
        <f t="shared" ref="F113:F114" si="8">SUM(G113:J113)</f>
        <v>765000</v>
      </c>
      <c r="G113" s="856"/>
      <c r="H113" s="856"/>
      <c r="I113" s="856">
        <v>765000</v>
      </c>
      <c r="J113" s="857"/>
      <c r="K113" s="849"/>
    </row>
    <row r="114" spans="1:226" s="850" customFormat="1" ht="15" customHeight="1">
      <c r="A114" s="1500"/>
      <c r="B114" s="1501"/>
      <c r="C114" s="1495"/>
      <c r="D114" s="1502"/>
      <c r="E114" s="897">
        <v>6069</v>
      </c>
      <c r="F114" s="856">
        <f t="shared" si="8"/>
        <v>135000</v>
      </c>
      <c r="G114" s="856">
        <v>135000</v>
      </c>
      <c r="H114" s="856"/>
      <c r="I114" s="856"/>
      <c r="J114" s="857"/>
      <c r="K114" s="849"/>
    </row>
    <row r="115" spans="1:226" s="850" customFormat="1" ht="24.95" customHeight="1">
      <c r="A115" s="1500" t="s">
        <v>1004</v>
      </c>
      <c r="B115" s="1501" t="s">
        <v>1005</v>
      </c>
      <c r="C115" s="1495">
        <v>750</v>
      </c>
      <c r="D115" s="1502" t="s">
        <v>381</v>
      </c>
      <c r="E115" s="846" t="s">
        <v>976</v>
      </c>
      <c r="F115" s="847">
        <f>SUM(F116,F124)</f>
        <v>55504</v>
      </c>
      <c r="G115" s="847">
        <f>SUM(G116,G124)</f>
        <v>8326</v>
      </c>
      <c r="H115" s="847">
        <f>SUM(H116,H124)</f>
        <v>0</v>
      </c>
      <c r="I115" s="847">
        <f>SUM(I116,I124)</f>
        <v>47178</v>
      </c>
      <c r="J115" s="848">
        <f>SUM(J116,J124)</f>
        <v>0</v>
      </c>
      <c r="K115" s="849"/>
    </row>
    <row r="116" spans="1:226" s="850" customFormat="1" ht="24.95" customHeight="1">
      <c r="A116" s="1500"/>
      <c r="B116" s="1501"/>
      <c r="C116" s="1495"/>
      <c r="D116" s="1502"/>
      <c r="E116" s="851" t="s">
        <v>990</v>
      </c>
      <c r="F116" s="852">
        <f>SUM(F117,F121)</f>
        <v>55504</v>
      </c>
      <c r="G116" s="852">
        <f>SUM(G117,G121)</f>
        <v>8326</v>
      </c>
      <c r="H116" s="852">
        <f>SUM(H117,H121)</f>
        <v>0</v>
      </c>
      <c r="I116" s="852">
        <f>SUM(I117,I121)</f>
        <v>47178</v>
      </c>
      <c r="J116" s="853">
        <f>SUM(J117,J121)</f>
        <v>0</v>
      </c>
      <c r="K116" s="849"/>
    </row>
    <row r="117" spans="1:226" s="850" customFormat="1" ht="24.95" hidden="1" customHeight="1">
      <c r="A117" s="1500"/>
      <c r="B117" s="1501"/>
      <c r="C117" s="1495"/>
      <c r="D117" s="1502"/>
      <c r="E117" s="860" t="s">
        <v>981</v>
      </c>
      <c r="F117" s="861">
        <f>SUM(F118:F120)</f>
        <v>0</v>
      </c>
      <c r="G117" s="861">
        <f>SUM(G118:G120)</f>
        <v>0</v>
      </c>
      <c r="H117" s="861">
        <f>SUM(H118:H120)</f>
        <v>0</v>
      </c>
      <c r="I117" s="861">
        <f>SUM(I118:I120)</f>
        <v>0</v>
      </c>
      <c r="J117" s="862">
        <f>SUM(J118:J120)</f>
        <v>0</v>
      </c>
      <c r="K117" s="849"/>
    </row>
    <row r="118" spans="1:226" s="850" customFormat="1" ht="15" hidden="1" customHeight="1">
      <c r="A118" s="1500"/>
      <c r="B118" s="1501"/>
      <c r="C118" s="1495"/>
      <c r="D118" s="1502"/>
      <c r="E118" s="855"/>
      <c r="F118" s="856">
        <f>SUM(G118:J118)</f>
        <v>0</v>
      </c>
      <c r="G118" s="856"/>
      <c r="H118" s="856"/>
      <c r="I118" s="856"/>
      <c r="J118" s="857"/>
      <c r="K118" s="849"/>
    </row>
    <row r="119" spans="1:226" s="850" customFormat="1" ht="15" hidden="1" customHeight="1">
      <c r="A119" s="1500"/>
      <c r="B119" s="1501"/>
      <c r="C119" s="1495"/>
      <c r="D119" s="1502"/>
      <c r="E119" s="855"/>
      <c r="F119" s="856">
        <f>SUM(G119:J119)</f>
        <v>0</v>
      </c>
      <c r="G119" s="856"/>
      <c r="H119" s="856"/>
      <c r="I119" s="856"/>
      <c r="J119" s="857"/>
      <c r="K119" s="849"/>
    </row>
    <row r="120" spans="1:226" s="850" customFormat="1" ht="15" hidden="1" customHeight="1">
      <c r="A120" s="1500"/>
      <c r="B120" s="1501"/>
      <c r="C120" s="1495"/>
      <c r="D120" s="1502"/>
      <c r="E120" s="855"/>
      <c r="F120" s="856">
        <f>SUM(G120:J120)</f>
        <v>0</v>
      </c>
      <c r="G120" s="856"/>
      <c r="H120" s="856"/>
      <c r="I120" s="856"/>
      <c r="J120" s="857"/>
      <c r="K120" s="849"/>
    </row>
    <row r="121" spans="1:226" s="850" customFormat="1" ht="24.95" customHeight="1">
      <c r="A121" s="1500"/>
      <c r="B121" s="1501"/>
      <c r="C121" s="1495"/>
      <c r="D121" s="1502"/>
      <c r="E121" s="860" t="s">
        <v>982</v>
      </c>
      <c r="F121" s="861">
        <f>SUM(F122:F123)</f>
        <v>55504</v>
      </c>
      <c r="G121" s="861">
        <f>SUM(G122:G123)</f>
        <v>8326</v>
      </c>
      <c r="H121" s="861">
        <f>SUM(H122:H123)</f>
        <v>0</v>
      </c>
      <c r="I121" s="861">
        <f>SUM(I122:I123)</f>
        <v>47178</v>
      </c>
      <c r="J121" s="862">
        <f>SUM(J122:J123)</f>
        <v>0</v>
      </c>
      <c r="K121" s="849"/>
      <c r="L121" s="849"/>
      <c r="M121" s="849"/>
      <c r="N121" s="849"/>
      <c r="O121" s="849"/>
      <c r="P121" s="849"/>
      <c r="Q121" s="849"/>
      <c r="R121" s="849"/>
      <c r="S121" s="849"/>
      <c r="T121" s="849"/>
      <c r="U121" s="849"/>
      <c r="V121" s="849"/>
      <c r="W121" s="849"/>
      <c r="X121" s="849"/>
      <c r="Y121" s="849"/>
      <c r="Z121" s="849"/>
      <c r="AA121" s="849"/>
      <c r="AB121" s="849"/>
      <c r="AC121" s="849"/>
      <c r="AD121" s="849"/>
      <c r="AE121" s="849"/>
      <c r="AF121" s="849"/>
      <c r="AG121" s="849"/>
      <c r="AH121" s="849"/>
      <c r="AI121" s="849"/>
      <c r="AJ121" s="849"/>
      <c r="AK121" s="849"/>
      <c r="AL121" s="849"/>
      <c r="AM121" s="849"/>
      <c r="AN121" s="849"/>
      <c r="AO121" s="849"/>
      <c r="AP121" s="849"/>
      <c r="AQ121" s="849"/>
      <c r="AR121" s="849"/>
      <c r="AS121" s="849"/>
      <c r="AT121" s="849"/>
      <c r="AU121" s="849"/>
      <c r="AV121" s="849"/>
      <c r="AW121" s="849"/>
      <c r="AX121" s="849"/>
      <c r="AY121" s="849"/>
      <c r="AZ121" s="849"/>
      <c r="BA121" s="849"/>
      <c r="BB121" s="849"/>
      <c r="BC121" s="849"/>
      <c r="BD121" s="849"/>
      <c r="BE121" s="849"/>
      <c r="BF121" s="849"/>
      <c r="BG121" s="849"/>
      <c r="BH121" s="849"/>
      <c r="BI121" s="849"/>
      <c r="BJ121" s="849"/>
      <c r="BK121" s="849"/>
      <c r="BL121" s="849"/>
      <c r="BM121" s="849"/>
      <c r="BN121" s="849"/>
      <c r="BO121" s="849"/>
      <c r="BP121" s="849"/>
      <c r="BQ121" s="849"/>
      <c r="BR121" s="849"/>
      <c r="BS121" s="849"/>
      <c r="BT121" s="849"/>
      <c r="BU121" s="849"/>
      <c r="BV121" s="849"/>
      <c r="BW121" s="849"/>
      <c r="BX121" s="849"/>
      <c r="BY121" s="849"/>
      <c r="BZ121" s="849"/>
      <c r="CA121" s="849"/>
      <c r="CB121" s="849"/>
      <c r="CC121" s="849"/>
      <c r="CD121" s="849"/>
      <c r="CE121" s="849"/>
      <c r="CF121" s="849"/>
      <c r="CG121" s="849"/>
      <c r="CH121" s="849"/>
      <c r="CI121" s="849"/>
      <c r="CJ121" s="849"/>
      <c r="CK121" s="849"/>
      <c r="CL121" s="849"/>
      <c r="CM121" s="849"/>
      <c r="CN121" s="849"/>
      <c r="CO121" s="849"/>
      <c r="CP121" s="849"/>
      <c r="CQ121" s="849"/>
      <c r="CR121" s="849"/>
      <c r="CS121" s="849"/>
      <c r="CT121" s="849"/>
      <c r="CU121" s="849"/>
      <c r="CV121" s="849"/>
      <c r="CW121" s="849"/>
      <c r="CX121" s="849"/>
      <c r="CY121" s="849"/>
      <c r="CZ121" s="849"/>
      <c r="DA121" s="849"/>
      <c r="DB121" s="849"/>
      <c r="DC121" s="849"/>
      <c r="DD121" s="849"/>
      <c r="DE121" s="849"/>
      <c r="DF121" s="849"/>
      <c r="DG121" s="849"/>
      <c r="DH121" s="849"/>
      <c r="DI121" s="849"/>
      <c r="DJ121" s="849"/>
      <c r="DK121" s="849"/>
      <c r="DL121" s="849"/>
      <c r="DM121" s="849"/>
      <c r="DN121" s="849"/>
      <c r="DO121" s="849"/>
      <c r="DP121" s="849"/>
      <c r="DQ121" s="849"/>
      <c r="DR121" s="849"/>
      <c r="DS121" s="849"/>
      <c r="DT121" s="849"/>
      <c r="DU121" s="849"/>
      <c r="DV121" s="849"/>
      <c r="DW121" s="849"/>
      <c r="DX121" s="849"/>
      <c r="DY121" s="849"/>
      <c r="DZ121" s="849"/>
      <c r="EA121" s="849"/>
      <c r="EB121" s="849"/>
      <c r="EC121" s="849"/>
      <c r="ED121" s="849"/>
      <c r="EE121" s="849"/>
      <c r="EF121" s="849"/>
      <c r="EG121" s="849"/>
      <c r="EH121" s="849"/>
      <c r="EI121" s="849"/>
      <c r="EJ121" s="849"/>
      <c r="EK121" s="849"/>
      <c r="EL121" s="849"/>
      <c r="EM121" s="849"/>
      <c r="EN121" s="849"/>
      <c r="EO121" s="849"/>
      <c r="EP121" s="849"/>
      <c r="EQ121" s="849"/>
      <c r="ER121" s="849"/>
      <c r="ES121" s="849"/>
      <c r="ET121" s="849"/>
      <c r="EU121" s="849"/>
      <c r="EV121" s="849"/>
      <c r="EW121" s="849"/>
      <c r="EX121" s="849"/>
      <c r="EY121" s="849"/>
      <c r="EZ121" s="849"/>
      <c r="FA121" s="849"/>
      <c r="FB121" s="849"/>
      <c r="FC121" s="849"/>
      <c r="FD121" s="849"/>
      <c r="FE121" s="849"/>
      <c r="FF121" s="849"/>
      <c r="FG121" s="849"/>
      <c r="FH121" s="849"/>
      <c r="FI121" s="849"/>
      <c r="FJ121" s="849"/>
      <c r="FK121" s="849"/>
      <c r="FL121" s="849"/>
      <c r="FM121" s="849"/>
      <c r="FN121" s="849"/>
      <c r="FO121" s="849"/>
      <c r="FP121" s="849"/>
      <c r="FQ121" s="849"/>
      <c r="FR121" s="849"/>
      <c r="FS121" s="849"/>
      <c r="FT121" s="849"/>
      <c r="FU121" s="849"/>
      <c r="FV121" s="849"/>
      <c r="FW121" s="849"/>
      <c r="FX121" s="849"/>
      <c r="FY121" s="849"/>
      <c r="FZ121" s="849"/>
      <c r="GA121" s="849"/>
      <c r="GB121" s="849"/>
      <c r="GC121" s="849"/>
      <c r="GD121" s="849"/>
      <c r="GE121" s="849"/>
      <c r="GF121" s="849"/>
      <c r="GG121" s="849"/>
      <c r="GH121" s="849"/>
      <c r="GI121" s="849"/>
      <c r="GJ121" s="849"/>
      <c r="GK121" s="849"/>
      <c r="GL121" s="849"/>
      <c r="GM121" s="849"/>
      <c r="GN121" s="849"/>
      <c r="GO121" s="849"/>
      <c r="GP121" s="849"/>
      <c r="GQ121" s="849"/>
      <c r="GR121" s="849"/>
      <c r="GS121" s="849"/>
      <c r="GT121" s="849"/>
      <c r="GU121" s="849"/>
      <c r="GV121" s="849"/>
      <c r="GW121" s="849"/>
      <c r="GX121" s="849"/>
      <c r="GY121" s="849"/>
      <c r="GZ121" s="849"/>
      <c r="HA121" s="849"/>
      <c r="HB121" s="849"/>
      <c r="HC121" s="849"/>
      <c r="HD121" s="849"/>
      <c r="HE121" s="849"/>
      <c r="HF121" s="849"/>
      <c r="HG121" s="849"/>
      <c r="HH121" s="849"/>
      <c r="HI121" s="849"/>
      <c r="HJ121" s="849"/>
      <c r="HK121" s="849"/>
      <c r="HL121" s="849"/>
      <c r="HM121" s="849"/>
      <c r="HN121" s="849"/>
      <c r="HO121" s="849"/>
      <c r="HP121" s="849"/>
      <c r="HQ121" s="849"/>
      <c r="HR121" s="849"/>
    </row>
    <row r="122" spans="1:226" s="850" customFormat="1" ht="15" customHeight="1">
      <c r="A122" s="1500"/>
      <c r="B122" s="1501"/>
      <c r="C122" s="1495"/>
      <c r="D122" s="1502"/>
      <c r="E122" s="855" t="s">
        <v>231</v>
      </c>
      <c r="F122" s="856">
        <f>SUM(G122:J122)</f>
        <v>47178</v>
      </c>
      <c r="G122" s="856"/>
      <c r="H122" s="856"/>
      <c r="I122" s="856">
        <v>47178</v>
      </c>
      <c r="J122" s="857"/>
      <c r="K122" s="849"/>
    </row>
    <row r="123" spans="1:226" s="850" customFormat="1" ht="15" customHeight="1">
      <c r="A123" s="1500"/>
      <c r="B123" s="1501"/>
      <c r="C123" s="1495"/>
      <c r="D123" s="1502"/>
      <c r="E123" s="855" t="s">
        <v>232</v>
      </c>
      <c r="F123" s="856">
        <f>SUM(G123:J123)</f>
        <v>8326</v>
      </c>
      <c r="G123" s="856">
        <v>8326</v>
      </c>
      <c r="H123" s="856"/>
      <c r="I123" s="856"/>
      <c r="J123" s="857"/>
      <c r="K123" s="849"/>
    </row>
    <row r="124" spans="1:226" s="850" customFormat="1" ht="24.95" customHeight="1">
      <c r="A124" s="1500"/>
      <c r="B124" s="1501"/>
      <c r="C124" s="1495"/>
      <c r="D124" s="1502"/>
      <c r="E124" s="858" t="s">
        <v>977</v>
      </c>
      <c r="F124" s="852">
        <f>SUM(F125:F127)</f>
        <v>0</v>
      </c>
      <c r="G124" s="852">
        <f>SUM(G125:G127)</f>
        <v>0</v>
      </c>
      <c r="H124" s="852">
        <f>SUM(H125:H127)</f>
        <v>0</v>
      </c>
      <c r="I124" s="852">
        <f>SUM(I125:I127)</f>
        <v>0</v>
      </c>
      <c r="J124" s="853">
        <f>SUM(J125:J127)</f>
        <v>0</v>
      </c>
      <c r="K124" s="849"/>
    </row>
    <row r="125" spans="1:226" s="850" customFormat="1" ht="15" hidden="1" customHeight="1">
      <c r="A125" s="1500"/>
      <c r="B125" s="1501"/>
      <c r="C125" s="1495"/>
      <c r="D125" s="1502"/>
      <c r="E125" s="855"/>
      <c r="F125" s="856">
        <f>SUM(G125:J125)</f>
        <v>0</v>
      </c>
      <c r="G125" s="856"/>
      <c r="H125" s="856"/>
      <c r="I125" s="856"/>
      <c r="J125" s="857"/>
      <c r="K125" s="849"/>
    </row>
    <row r="126" spans="1:226" s="850" customFormat="1" ht="15" hidden="1" customHeight="1">
      <c r="A126" s="1500"/>
      <c r="B126" s="1501"/>
      <c r="C126" s="1495"/>
      <c r="D126" s="1502"/>
      <c r="E126" s="855"/>
      <c r="F126" s="856"/>
      <c r="G126" s="856"/>
      <c r="H126" s="856"/>
      <c r="I126" s="856"/>
      <c r="J126" s="857"/>
      <c r="K126" s="849"/>
    </row>
    <row r="127" spans="1:226" s="850" customFormat="1" ht="15" hidden="1" customHeight="1">
      <c r="A127" s="1500"/>
      <c r="B127" s="1501"/>
      <c r="C127" s="1495"/>
      <c r="D127" s="1502"/>
      <c r="E127" s="897"/>
      <c r="F127" s="856">
        <f>SUM(G127:J127)</f>
        <v>0</v>
      </c>
      <c r="G127" s="856"/>
      <c r="H127" s="856"/>
      <c r="I127" s="856"/>
      <c r="J127" s="857"/>
      <c r="K127" s="849"/>
    </row>
    <row r="128" spans="1:226" s="850" customFormat="1" ht="24.95" customHeight="1">
      <c r="A128" s="1500" t="s">
        <v>1006</v>
      </c>
      <c r="B128" s="1501" t="s">
        <v>1007</v>
      </c>
      <c r="C128" s="1495">
        <v>750</v>
      </c>
      <c r="D128" s="1502" t="s">
        <v>381</v>
      </c>
      <c r="E128" s="846" t="s">
        <v>976</v>
      </c>
      <c r="F128" s="847">
        <f>SUM(F129,F139)</f>
        <v>260000</v>
      </c>
      <c r="G128" s="847">
        <f>SUM(G129,G139)</f>
        <v>39000</v>
      </c>
      <c r="H128" s="847">
        <f>SUM(H129,H139)</f>
        <v>0</v>
      </c>
      <c r="I128" s="847">
        <f>SUM(I129,I139)</f>
        <v>221000</v>
      </c>
      <c r="J128" s="848">
        <f>SUM(J129,J139)</f>
        <v>0</v>
      </c>
      <c r="K128" s="849"/>
    </row>
    <row r="129" spans="1:226" s="850" customFormat="1" ht="24.95" customHeight="1">
      <c r="A129" s="1500"/>
      <c r="B129" s="1501"/>
      <c r="C129" s="1495"/>
      <c r="D129" s="1502"/>
      <c r="E129" s="851" t="s">
        <v>990</v>
      </c>
      <c r="F129" s="852">
        <f>SUM(F130,F134)</f>
        <v>260000</v>
      </c>
      <c r="G129" s="852">
        <f>SUM(G130,G134)</f>
        <v>39000</v>
      </c>
      <c r="H129" s="852">
        <f>SUM(H130,H134)</f>
        <v>0</v>
      </c>
      <c r="I129" s="852">
        <f>SUM(I130,I134)</f>
        <v>221000</v>
      </c>
      <c r="J129" s="853">
        <f>SUM(J130,J134)</f>
        <v>0</v>
      </c>
      <c r="K129" s="849"/>
    </row>
    <row r="130" spans="1:226" s="850" customFormat="1" ht="24.95" customHeight="1">
      <c r="A130" s="1500"/>
      <c r="B130" s="1501"/>
      <c r="C130" s="1495"/>
      <c r="D130" s="1502"/>
      <c r="E130" s="860" t="s">
        <v>981</v>
      </c>
      <c r="F130" s="861">
        <f>SUM(F131:F133)</f>
        <v>60000</v>
      </c>
      <c r="G130" s="861">
        <f>SUM(G131:G133)</f>
        <v>9000</v>
      </c>
      <c r="H130" s="861">
        <f>SUM(H131:H133)</f>
        <v>0</v>
      </c>
      <c r="I130" s="861">
        <f>SUM(I131:I133)</f>
        <v>51000</v>
      </c>
      <c r="J130" s="862">
        <f>SUM(J131:J133)</f>
        <v>0</v>
      </c>
      <c r="K130" s="849"/>
    </row>
    <row r="131" spans="1:226" s="850" customFormat="1" ht="15" customHeight="1">
      <c r="A131" s="1500"/>
      <c r="B131" s="1501"/>
      <c r="C131" s="1495"/>
      <c r="D131" s="1502"/>
      <c r="E131" s="855" t="s">
        <v>222</v>
      </c>
      <c r="F131" s="856">
        <f>SUM(G131:J131)</f>
        <v>51000</v>
      </c>
      <c r="G131" s="856"/>
      <c r="H131" s="856"/>
      <c r="I131" s="856">
        <v>51000</v>
      </c>
      <c r="J131" s="857"/>
      <c r="K131" s="849"/>
    </row>
    <row r="132" spans="1:226" s="850" customFormat="1" ht="15" customHeight="1">
      <c r="A132" s="1500"/>
      <c r="B132" s="1501"/>
      <c r="C132" s="1495"/>
      <c r="D132" s="1502"/>
      <c r="E132" s="855" t="s">
        <v>223</v>
      </c>
      <c r="F132" s="856">
        <f>SUM(G132:J132)</f>
        <v>9000</v>
      </c>
      <c r="G132" s="856">
        <v>9000</v>
      </c>
      <c r="H132" s="856"/>
      <c r="I132" s="856"/>
      <c r="J132" s="857"/>
      <c r="K132" s="849"/>
    </row>
    <row r="133" spans="1:226" s="850" customFormat="1" ht="15" hidden="1" customHeight="1">
      <c r="A133" s="1500"/>
      <c r="B133" s="1501"/>
      <c r="C133" s="1495"/>
      <c r="D133" s="1502"/>
      <c r="E133" s="855"/>
      <c r="F133" s="856">
        <f>SUM(G133:J133)</f>
        <v>0</v>
      </c>
      <c r="G133" s="856"/>
      <c r="H133" s="856"/>
      <c r="I133" s="856"/>
      <c r="J133" s="857"/>
      <c r="K133" s="849"/>
    </row>
    <row r="134" spans="1:226" s="850" customFormat="1" ht="24.95" customHeight="1">
      <c r="A134" s="1500"/>
      <c r="B134" s="1501"/>
      <c r="C134" s="1495"/>
      <c r="D134" s="1502"/>
      <c r="E134" s="860" t="s">
        <v>982</v>
      </c>
      <c r="F134" s="861">
        <f>SUM(F135:F138)</f>
        <v>200000</v>
      </c>
      <c r="G134" s="861">
        <f>SUM(G135:G138)</f>
        <v>30000</v>
      </c>
      <c r="H134" s="861">
        <f>SUM(H135:H138)</f>
        <v>0</v>
      </c>
      <c r="I134" s="861">
        <f>SUM(I135:I138)</f>
        <v>170000</v>
      </c>
      <c r="J134" s="862">
        <f>SUM(J135:J138)</f>
        <v>0</v>
      </c>
      <c r="K134" s="849"/>
      <c r="L134" s="849"/>
      <c r="M134" s="849"/>
      <c r="N134" s="849"/>
      <c r="O134" s="849"/>
      <c r="P134" s="849"/>
      <c r="Q134" s="849"/>
      <c r="R134" s="849"/>
      <c r="S134" s="849"/>
      <c r="T134" s="849"/>
      <c r="U134" s="849"/>
      <c r="V134" s="849"/>
      <c r="W134" s="849"/>
      <c r="X134" s="849"/>
      <c r="Y134" s="849"/>
      <c r="Z134" s="849"/>
      <c r="AA134" s="849"/>
      <c r="AB134" s="849"/>
      <c r="AC134" s="849"/>
      <c r="AD134" s="849"/>
      <c r="AE134" s="849"/>
      <c r="AF134" s="849"/>
      <c r="AG134" s="849"/>
      <c r="AH134" s="849"/>
      <c r="AI134" s="849"/>
      <c r="AJ134" s="849"/>
      <c r="AK134" s="849"/>
      <c r="AL134" s="849"/>
      <c r="AM134" s="849"/>
      <c r="AN134" s="849"/>
      <c r="AO134" s="849"/>
      <c r="AP134" s="849"/>
      <c r="AQ134" s="849"/>
      <c r="AR134" s="849"/>
      <c r="AS134" s="849"/>
      <c r="AT134" s="849"/>
      <c r="AU134" s="849"/>
      <c r="AV134" s="849"/>
      <c r="AW134" s="849"/>
      <c r="AX134" s="849"/>
      <c r="AY134" s="849"/>
      <c r="AZ134" s="849"/>
      <c r="BA134" s="849"/>
      <c r="BB134" s="849"/>
      <c r="BC134" s="849"/>
      <c r="BD134" s="849"/>
      <c r="BE134" s="849"/>
      <c r="BF134" s="849"/>
      <c r="BG134" s="849"/>
      <c r="BH134" s="849"/>
      <c r="BI134" s="849"/>
      <c r="BJ134" s="849"/>
      <c r="BK134" s="849"/>
      <c r="BL134" s="849"/>
      <c r="BM134" s="849"/>
      <c r="BN134" s="849"/>
      <c r="BO134" s="849"/>
      <c r="BP134" s="849"/>
      <c r="BQ134" s="849"/>
      <c r="BR134" s="849"/>
      <c r="BS134" s="849"/>
      <c r="BT134" s="849"/>
      <c r="BU134" s="849"/>
      <c r="BV134" s="849"/>
      <c r="BW134" s="849"/>
      <c r="BX134" s="849"/>
      <c r="BY134" s="849"/>
      <c r="BZ134" s="849"/>
      <c r="CA134" s="849"/>
      <c r="CB134" s="849"/>
      <c r="CC134" s="849"/>
      <c r="CD134" s="849"/>
      <c r="CE134" s="849"/>
      <c r="CF134" s="849"/>
      <c r="CG134" s="849"/>
      <c r="CH134" s="849"/>
      <c r="CI134" s="849"/>
      <c r="CJ134" s="849"/>
      <c r="CK134" s="849"/>
      <c r="CL134" s="849"/>
      <c r="CM134" s="849"/>
      <c r="CN134" s="849"/>
      <c r="CO134" s="849"/>
      <c r="CP134" s="849"/>
      <c r="CQ134" s="849"/>
      <c r="CR134" s="849"/>
      <c r="CS134" s="849"/>
      <c r="CT134" s="849"/>
      <c r="CU134" s="849"/>
      <c r="CV134" s="849"/>
      <c r="CW134" s="849"/>
      <c r="CX134" s="849"/>
      <c r="CY134" s="849"/>
      <c r="CZ134" s="849"/>
      <c r="DA134" s="849"/>
      <c r="DB134" s="849"/>
      <c r="DC134" s="849"/>
      <c r="DD134" s="849"/>
      <c r="DE134" s="849"/>
      <c r="DF134" s="849"/>
      <c r="DG134" s="849"/>
      <c r="DH134" s="849"/>
      <c r="DI134" s="849"/>
      <c r="DJ134" s="849"/>
      <c r="DK134" s="849"/>
      <c r="DL134" s="849"/>
      <c r="DM134" s="849"/>
      <c r="DN134" s="849"/>
      <c r="DO134" s="849"/>
      <c r="DP134" s="849"/>
      <c r="DQ134" s="849"/>
      <c r="DR134" s="849"/>
      <c r="DS134" s="849"/>
      <c r="DT134" s="849"/>
      <c r="DU134" s="849"/>
      <c r="DV134" s="849"/>
      <c r="DW134" s="849"/>
      <c r="DX134" s="849"/>
      <c r="DY134" s="849"/>
      <c r="DZ134" s="849"/>
      <c r="EA134" s="849"/>
      <c r="EB134" s="849"/>
      <c r="EC134" s="849"/>
      <c r="ED134" s="849"/>
      <c r="EE134" s="849"/>
      <c r="EF134" s="849"/>
      <c r="EG134" s="849"/>
      <c r="EH134" s="849"/>
      <c r="EI134" s="849"/>
      <c r="EJ134" s="849"/>
      <c r="EK134" s="849"/>
      <c r="EL134" s="849"/>
      <c r="EM134" s="849"/>
      <c r="EN134" s="849"/>
      <c r="EO134" s="849"/>
      <c r="EP134" s="849"/>
      <c r="EQ134" s="849"/>
      <c r="ER134" s="849"/>
      <c r="ES134" s="849"/>
      <c r="ET134" s="849"/>
      <c r="EU134" s="849"/>
      <c r="EV134" s="849"/>
      <c r="EW134" s="849"/>
      <c r="EX134" s="849"/>
      <c r="EY134" s="849"/>
      <c r="EZ134" s="849"/>
      <c r="FA134" s="849"/>
      <c r="FB134" s="849"/>
      <c r="FC134" s="849"/>
      <c r="FD134" s="849"/>
      <c r="FE134" s="849"/>
      <c r="FF134" s="849"/>
      <c r="FG134" s="849"/>
      <c r="FH134" s="849"/>
      <c r="FI134" s="849"/>
      <c r="FJ134" s="849"/>
      <c r="FK134" s="849"/>
      <c r="FL134" s="849"/>
      <c r="FM134" s="849"/>
      <c r="FN134" s="849"/>
      <c r="FO134" s="849"/>
      <c r="FP134" s="849"/>
      <c r="FQ134" s="849"/>
      <c r="FR134" s="849"/>
      <c r="FS134" s="849"/>
      <c r="FT134" s="849"/>
      <c r="FU134" s="849"/>
      <c r="FV134" s="849"/>
      <c r="FW134" s="849"/>
      <c r="FX134" s="849"/>
      <c r="FY134" s="849"/>
      <c r="FZ134" s="849"/>
      <c r="GA134" s="849"/>
      <c r="GB134" s="849"/>
      <c r="GC134" s="849"/>
      <c r="GD134" s="849"/>
      <c r="GE134" s="849"/>
      <c r="GF134" s="849"/>
      <c r="GG134" s="849"/>
      <c r="GH134" s="849"/>
      <c r="GI134" s="849"/>
      <c r="GJ134" s="849"/>
      <c r="GK134" s="849"/>
      <c r="GL134" s="849"/>
      <c r="GM134" s="849"/>
      <c r="GN134" s="849"/>
      <c r="GO134" s="849"/>
      <c r="GP134" s="849"/>
      <c r="GQ134" s="849"/>
      <c r="GR134" s="849"/>
      <c r="GS134" s="849"/>
      <c r="GT134" s="849"/>
      <c r="GU134" s="849"/>
      <c r="GV134" s="849"/>
      <c r="GW134" s="849"/>
      <c r="GX134" s="849"/>
      <c r="GY134" s="849"/>
      <c r="GZ134" s="849"/>
      <c r="HA134" s="849"/>
      <c r="HB134" s="849"/>
      <c r="HC134" s="849"/>
      <c r="HD134" s="849"/>
      <c r="HE134" s="849"/>
      <c r="HF134" s="849"/>
      <c r="HG134" s="849"/>
      <c r="HH134" s="849"/>
      <c r="HI134" s="849"/>
      <c r="HJ134" s="849"/>
      <c r="HK134" s="849"/>
      <c r="HL134" s="849"/>
      <c r="HM134" s="849"/>
      <c r="HN134" s="849"/>
      <c r="HO134" s="849"/>
      <c r="HP134" s="849"/>
      <c r="HQ134" s="849"/>
      <c r="HR134" s="849"/>
    </row>
    <row r="135" spans="1:226" s="850" customFormat="1" ht="15" customHeight="1">
      <c r="A135" s="1500"/>
      <c r="B135" s="1501"/>
      <c r="C135" s="1495"/>
      <c r="D135" s="1502"/>
      <c r="E135" s="855" t="s">
        <v>231</v>
      </c>
      <c r="F135" s="856">
        <f>SUM(G135:J135)</f>
        <v>25500</v>
      </c>
      <c r="G135" s="856"/>
      <c r="H135" s="856"/>
      <c r="I135" s="856">
        <v>25500</v>
      </c>
      <c r="J135" s="857"/>
      <c r="K135" s="849"/>
    </row>
    <row r="136" spans="1:226" s="850" customFormat="1" ht="15" customHeight="1">
      <c r="A136" s="1500"/>
      <c r="B136" s="1501"/>
      <c r="C136" s="1495"/>
      <c r="D136" s="1502"/>
      <c r="E136" s="855" t="s">
        <v>232</v>
      </c>
      <c r="F136" s="856">
        <f>SUM(G136:J136)</f>
        <v>4500</v>
      </c>
      <c r="G136" s="856">
        <v>4500</v>
      </c>
      <c r="H136" s="856"/>
      <c r="I136" s="856"/>
      <c r="J136" s="857"/>
      <c r="K136" s="849"/>
    </row>
    <row r="137" spans="1:226" s="850" customFormat="1" ht="15" customHeight="1">
      <c r="A137" s="1500"/>
      <c r="B137" s="1501"/>
      <c r="C137" s="1495"/>
      <c r="D137" s="1502"/>
      <c r="E137" s="855" t="s">
        <v>410</v>
      </c>
      <c r="F137" s="856">
        <f>SUM(G137:J137)</f>
        <v>144500</v>
      </c>
      <c r="G137" s="856"/>
      <c r="H137" s="856"/>
      <c r="I137" s="856">
        <v>144500</v>
      </c>
      <c r="J137" s="857"/>
      <c r="K137" s="849"/>
    </row>
    <row r="138" spans="1:226" s="850" customFormat="1" ht="15" customHeight="1">
      <c r="A138" s="1500"/>
      <c r="B138" s="1501"/>
      <c r="C138" s="1495"/>
      <c r="D138" s="1502"/>
      <c r="E138" s="855" t="s">
        <v>298</v>
      </c>
      <c r="F138" s="856">
        <f>SUM(G138:J138)</f>
        <v>25500</v>
      </c>
      <c r="G138" s="856">
        <v>25500</v>
      </c>
      <c r="H138" s="856"/>
      <c r="I138" s="856"/>
      <c r="J138" s="857"/>
      <c r="K138" s="849"/>
    </row>
    <row r="139" spans="1:226" s="850" customFormat="1" ht="22.5" customHeight="1">
      <c r="A139" s="1500"/>
      <c r="B139" s="1501"/>
      <c r="C139" s="1495"/>
      <c r="D139" s="1502"/>
      <c r="E139" s="858" t="s">
        <v>977</v>
      </c>
      <c r="F139" s="852">
        <f>SUM(F140:F142)</f>
        <v>0</v>
      </c>
      <c r="G139" s="852">
        <f>SUM(G140:G142)</f>
        <v>0</v>
      </c>
      <c r="H139" s="852">
        <f>SUM(H140:H142)</f>
        <v>0</v>
      </c>
      <c r="I139" s="852">
        <f>SUM(I140:I142)</f>
        <v>0</v>
      </c>
      <c r="J139" s="853">
        <f>SUM(J140:J142)</f>
        <v>0</v>
      </c>
      <c r="K139" s="849"/>
    </row>
    <row r="140" spans="1:226" s="850" customFormat="1" ht="15" hidden="1" customHeight="1">
      <c r="A140" s="1500"/>
      <c r="B140" s="1501"/>
      <c r="C140" s="1495"/>
      <c r="D140" s="1502"/>
      <c r="E140" s="855"/>
      <c r="F140" s="856">
        <f>SUM(G140:J140)</f>
        <v>0</v>
      </c>
      <c r="G140" s="856"/>
      <c r="H140" s="856"/>
      <c r="I140" s="856"/>
      <c r="J140" s="857"/>
      <c r="K140" s="849"/>
    </row>
    <row r="141" spans="1:226" s="850" customFormat="1" ht="15" hidden="1" customHeight="1">
      <c r="A141" s="1500"/>
      <c r="B141" s="1501"/>
      <c r="C141" s="1495"/>
      <c r="D141" s="1502"/>
      <c r="E141" s="855"/>
      <c r="F141" s="856"/>
      <c r="G141" s="856"/>
      <c r="H141" s="856"/>
      <c r="I141" s="856"/>
      <c r="J141" s="857"/>
      <c r="K141" s="849"/>
    </row>
    <row r="142" spans="1:226" s="850" customFormat="1" ht="15" hidden="1" customHeight="1">
      <c r="A142" s="1500"/>
      <c r="B142" s="1501"/>
      <c r="C142" s="1495"/>
      <c r="D142" s="1502"/>
      <c r="E142" s="897"/>
      <c r="F142" s="856">
        <f>SUM(G142:J142)</f>
        <v>0</v>
      </c>
      <c r="G142" s="856"/>
      <c r="H142" s="856"/>
      <c r="I142" s="856"/>
      <c r="J142" s="857"/>
      <c r="K142" s="849"/>
    </row>
    <row r="143" spans="1:226" s="850" customFormat="1" ht="24.95" customHeight="1">
      <c r="A143" s="1503" t="s">
        <v>1008</v>
      </c>
      <c r="B143" s="1506" t="s">
        <v>1009</v>
      </c>
      <c r="C143" s="1516">
        <v>750</v>
      </c>
      <c r="D143" s="1542" t="s">
        <v>381</v>
      </c>
      <c r="E143" s="846" t="s">
        <v>976</v>
      </c>
      <c r="F143" s="847">
        <f>SUM(F144,F157)</f>
        <v>115200</v>
      </c>
      <c r="G143" s="847">
        <f>SUM(G144,G157)</f>
        <v>17280</v>
      </c>
      <c r="H143" s="847">
        <f>SUM(H144,H157)</f>
        <v>0</v>
      </c>
      <c r="I143" s="847">
        <f>SUM(I144,I157)</f>
        <v>97920</v>
      </c>
      <c r="J143" s="848">
        <f>SUM(J144,J157)</f>
        <v>0</v>
      </c>
      <c r="K143" s="849"/>
    </row>
    <row r="144" spans="1:226" s="850" customFormat="1" ht="21">
      <c r="A144" s="1504"/>
      <c r="B144" s="1507"/>
      <c r="C144" s="1541"/>
      <c r="D144" s="1543"/>
      <c r="E144" s="851" t="s">
        <v>990</v>
      </c>
      <c r="F144" s="852">
        <f>SUM(F145,F150)</f>
        <v>115200</v>
      </c>
      <c r="G144" s="852">
        <f>SUM(G145,G150)</f>
        <v>17280</v>
      </c>
      <c r="H144" s="852">
        <f>SUM(H145,H150)</f>
        <v>0</v>
      </c>
      <c r="I144" s="852">
        <f>SUM(I145,I150)</f>
        <v>97920</v>
      </c>
      <c r="J144" s="853">
        <f>SUM(J145,J150)</f>
        <v>0</v>
      </c>
      <c r="K144" s="849"/>
    </row>
    <row r="145" spans="1:226" s="850" customFormat="1" ht="24.95" customHeight="1">
      <c r="A145" s="1504"/>
      <c r="B145" s="1507"/>
      <c r="C145" s="1541"/>
      <c r="D145" s="1543"/>
      <c r="E145" s="860" t="s">
        <v>981</v>
      </c>
      <c r="F145" s="861">
        <f>SUM(F146:F149)</f>
        <v>20000</v>
      </c>
      <c r="G145" s="861">
        <f>SUM(G146:G149)</f>
        <v>3000</v>
      </c>
      <c r="H145" s="861">
        <f>SUM(H146:H149)</f>
        <v>0</v>
      </c>
      <c r="I145" s="861">
        <f>SUM(I146:I149)</f>
        <v>17000</v>
      </c>
      <c r="J145" s="862">
        <f>SUM(J146:J149)</f>
        <v>0</v>
      </c>
      <c r="K145" s="849"/>
    </row>
    <row r="146" spans="1:226" s="850" customFormat="1" ht="15" customHeight="1">
      <c r="A146" s="1504"/>
      <c r="B146" s="1507"/>
      <c r="C146" s="1541"/>
      <c r="D146" s="1543"/>
      <c r="E146" s="855" t="s">
        <v>218</v>
      </c>
      <c r="F146" s="856">
        <f>SUM(G146:J146)</f>
        <v>4250</v>
      </c>
      <c r="G146" s="856"/>
      <c r="H146" s="856"/>
      <c r="I146" s="856">
        <v>4250</v>
      </c>
      <c r="J146" s="857"/>
      <c r="K146" s="849"/>
    </row>
    <row r="147" spans="1:226" s="850" customFormat="1" ht="15" customHeight="1">
      <c r="A147" s="1504"/>
      <c r="B147" s="1507"/>
      <c r="C147" s="1541"/>
      <c r="D147" s="1543"/>
      <c r="E147" s="855" t="s">
        <v>219</v>
      </c>
      <c r="F147" s="856">
        <f>SUM(G147:J147)</f>
        <v>750</v>
      </c>
      <c r="G147" s="856">
        <v>750</v>
      </c>
      <c r="H147" s="856"/>
      <c r="I147" s="856"/>
      <c r="J147" s="857"/>
      <c r="K147" s="849"/>
    </row>
    <row r="148" spans="1:226" s="850" customFormat="1" ht="15" customHeight="1">
      <c r="A148" s="1504"/>
      <c r="B148" s="1507"/>
      <c r="C148" s="1541"/>
      <c r="D148" s="1543"/>
      <c r="E148" s="855" t="s">
        <v>222</v>
      </c>
      <c r="F148" s="856">
        <f>SUM(G148:J148)</f>
        <v>12750</v>
      </c>
      <c r="G148" s="856"/>
      <c r="H148" s="856"/>
      <c r="I148" s="856">
        <v>12750</v>
      </c>
      <c r="J148" s="857"/>
      <c r="K148" s="849"/>
    </row>
    <row r="149" spans="1:226" s="850" customFormat="1" ht="15" customHeight="1">
      <c r="A149" s="1504"/>
      <c r="B149" s="1507"/>
      <c r="C149" s="1541"/>
      <c r="D149" s="1543"/>
      <c r="E149" s="855" t="s">
        <v>223</v>
      </c>
      <c r="F149" s="856">
        <f>SUM(G149:J149)</f>
        <v>2250</v>
      </c>
      <c r="G149" s="856">
        <v>2250</v>
      </c>
      <c r="H149" s="856"/>
      <c r="I149" s="856"/>
      <c r="J149" s="857"/>
      <c r="K149" s="849"/>
    </row>
    <row r="150" spans="1:226" s="850" customFormat="1" ht="24.95" customHeight="1">
      <c r="A150" s="1504"/>
      <c r="B150" s="1507"/>
      <c r="C150" s="1541"/>
      <c r="D150" s="1543"/>
      <c r="E150" s="860" t="s">
        <v>982</v>
      </c>
      <c r="F150" s="861">
        <f>SUM(F151:F156)</f>
        <v>95200</v>
      </c>
      <c r="G150" s="861">
        <f>SUM(G151:G156)</f>
        <v>14280</v>
      </c>
      <c r="H150" s="861">
        <f>SUM(H151:H156)</f>
        <v>0</v>
      </c>
      <c r="I150" s="861">
        <f>SUM(I151:I156)</f>
        <v>80920</v>
      </c>
      <c r="J150" s="862">
        <f>SUM(J151:J156)</f>
        <v>0</v>
      </c>
      <c r="K150" s="849"/>
      <c r="L150" s="849"/>
      <c r="M150" s="849"/>
      <c r="N150" s="849"/>
      <c r="O150" s="849"/>
      <c r="P150" s="849"/>
      <c r="Q150" s="849"/>
      <c r="R150" s="849"/>
      <c r="S150" s="849"/>
      <c r="T150" s="849"/>
      <c r="U150" s="849"/>
      <c r="V150" s="849"/>
      <c r="W150" s="849"/>
      <c r="X150" s="849"/>
      <c r="Y150" s="849"/>
      <c r="Z150" s="849"/>
      <c r="AA150" s="849"/>
      <c r="AB150" s="849"/>
      <c r="AC150" s="849"/>
      <c r="AD150" s="849"/>
      <c r="AE150" s="849"/>
      <c r="AF150" s="849"/>
      <c r="AG150" s="849"/>
      <c r="AH150" s="849"/>
      <c r="AI150" s="849"/>
      <c r="AJ150" s="849"/>
      <c r="AK150" s="849"/>
      <c r="AL150" s="849"/>
      <c r="AM150" s="849"/>
      <c r="AN150" s="849"/>
      <c r="AO150" s="849"/>
      <c r="AP150" s="849"/>
      <c r="AQ150" s="849"/>
      <c r="AR150" s="849"/>
      <c r="AS150" s="849"/>
      <c r="AT150" s="849"/>
      <c r="AU150" s="849"/>
      <c r="AV150" s="849"/>
      <c r="AW150" s="849"/>
      <c r="AX150" s="849"/>
      <c r="AY150" s="849"/>
      <c r="AZ150" s="849"/>
      <c r="BA150" s="849"/>
      <c r="BB150" s="849"/>
      <c r="BC150" s="849"/>
      <c r="BD150" s="849"/>
      <c r="BE150" s="849"/>
      <c r="BF150" s="849"/>
      <c r="BG150" s="849"/>
      <c r="BH150" s="849"/>
      <c r="BI150" s="849"/>
      <c r="BJ150" s="849"/>
      <c r="BK150" s="849"/>
      <c r="BL150" s="849"/>
      <c r="BM150" s="849"/>
      <c r="BN150" s="849"/>
      <c r="BO150" s="849"/>
      <c r="BP150" s="849"/>
      <c r="BQ150" s="849"/>
      <c r="BR150" s="849"/>
      <c r="BS150" s="849"/>
      <c r="BT150" s="849"/>
      <c r="BU150" s="849"/>
      <c r="BV150" s="849"/>
      <c r="BW150" s="849"/>
      <c r="BX150" s="849"/>
      <c r="BY150" s="849"/>
      <c r="BZ150" s="849"/>
      <c r="CA150" s="849"/>
      <c r="CB150" s="849"/>
      <c r="CC150" s="849"/>
      <c r="CD150" s="849"/>
      <c r="CE150" s="849"/>
      <c r="CF150" s="849"/>
      <c r="CG150" s="849"/>
      <c r="CH150" s="849"/>
      <c r="CI150" s="849"/>
      <c r="CJ150" s="849"/>
      <c r="CK150" s="849"/>
      <c r="CL150" s="849"/>
      <c r="CM150" s="849"/>
      <c r="CN150" s="849"/>
      <c r="CO150" s="849"/>
      <c r="CP150" s="849"/>
      <c r="CQ150" s="849"/>
      <c r="CR150" s="849"/>
      <c r="CS150" s="849"/>
      <c r="CT150" s="849"/>
      <c r="CU150" s="849"/>
      <c r="CV150" s="849"/>
      <c r="CW150" s="849"/>
      <c r="CX150" s="849"/>
      <c r="CY150" s="849"/>
      <c r="CZ150" s="849"/>
      <c r="DA150" s="849"/>
      <c r="DB150" s="849"/>
      <c r="DC150" s="849"/>
      <c r="DD150" s="849"/>
      <c r="DE150" s="849"/>
      <c r="DF150" s="849"/>
      <c r="DG150" s="849"/>
      <c r="DH150" s="849"/>
      <c r="DI150" s="849"/>
      <c r="DJ150" s="849"/>
      <c r="DK150" s="849"/>
      <c r="DL150" s="849"/>
      <c r="DM150" s="849"/>
      <c r="DN150" s="849"/>
      <c r="DO150" s="849"/>
      <c r="DP150" s="849"/>
      <c r="DQ150" s="849"/>
      <c r="DR150" s="849"/>
      <c r="DS150" s="849"/>
      <c r="DT150" s="849"/>
      <c r="DU150" s="849"/>
      <c r="DV150" s="849"/>
      <c r="DW150" s="849"/>
      <c r="DX150" s="849"/>
      <c r="DY150" s="849"/>
      <c r="DZ150" s="849"/>
      <c r="EA150" s="849"/>
      <c r="EB150" s="849"/>
      <c r="EC150" s="849"/>
      <c r="ED150" s="849"/>
      <c r="EE150" s="849"/>
      <c r="EF150" s="849"/>
      <c r="EG150" s="849"/>
      <c r="EH150" s="849"/>
      <c r="EI150" s="849"/>
      <c r="EJ150" s="849"/>
      <c r="EK150" s="849"/>
      <c r="EL150" s="849"/>
      <c r="EM150" s="849"/>
      <c r="EN150" s="849"/>
      <c r="EO150" s="849"/>
      <c r="EP150" s="849"/>
      <c r="EQ150" s="849"/>
      <c r="ER150" s="849"/>
      <c r="ES150" s="849"/>
      <c r="ET150" s="849"/>
      <c r="EU150" s="849"/>
      <c r="EV150" s="849"/>
      <c r="EW150" s="849"/>
      <c r="EX150" s="849"/>
      <c r="EY150" s="849"/>
      <c r="EZ150" s="849"/>
      <c r="FA150" s="849"/>
      <c r="FB150" s="849"/>
      <c r="FC150" s="849"/>
      <c r="FD150" s="849"/>
      <c r="FE150" s="849"/>
      <c r="FF150" s="849"/>
      <c r="FG150" s="849"/>
      <c r="FH150" s="849"/>
      <c r="FI150" s="849"/>
      <c r="FJ150" s="849"/>
      <c r="FK150" s="849"/>
      <c r="FL150" s="849"/>
      <c r="FM150" s="849"/>
      <c r="FN150" s="849"/>
      <c r="FO150" s="849"/>
      <c r="FP150" s="849"/>
      <c r="FQ150" s="849"/>
      <c r="FR150" s="849"/>
      <c r="FS150" s="849"/>
      <c r="FT150" s="849"/>
      <c r="FU150" s="849"/>
      <c r="FV150" s="849"/>
      <c r="FW150" s="849"/>
      <c r="FX150" s="849"/>
      <c r="FY150" s="849"/>
      <c r="FZ150" s="849"/>
      <c r="GA150" s="849"/>
      <c r="GB150" s="849"/>
      <c r="GC150" s="849"/>
      <c r="GD150" s="849"/>
      <c r="GE150" s="849"/>
      <c r="GF150" s="849"/>
      <c r="GG150" s="849"/>
      <c r="GH150" s="849"/>
      <c r="GI150" s="849"/>
      <c r="GJ150" s="849"/>
      <c r="GK150" s="849"/>
      <c r="GL150" s="849"/>
      <c r="GM150" s="849"/>
      <c r="GN150" s="849"/>
      <c r="GO150" s="849"/>
      <c r="GP150" s="849"/>
      <c r="GQ150" s="849"/>
      <c r="GR150" s="849"/>
      <c r="GS150" s="849"/>
      <c r="GT150" s="849"/>
      <c r="GU150" s="849"/>
      <c r="GV150" s="849"/>
      <c r="GW150" s="849"/>
      <c r="GX150" s="849"/>
      <c r="GY150" s="849"/>
      <c r="GZ150" s="849"/>
      <c r="HA150" s="849"/>
      <c r="HB150" s="849"/>
      <c r="HC150" s="849"/>
      <c r="HD150" s="849"/>
      <c r="HE150" s="849"/>
      <c r="HF150" s="849"/>
      <c r="HG150" s="849"/>
      <c r="HH150" s="849"/>
      <c r="HI150" s="849"/>
      <c r="HJ150" s="849"/>
      <c r="HK150" s="849"/>
      <c r="HL150" s="849"/>
      <c r="HM150" s="849"/>
      <c r="HN150" s="849"/>
      <c r="HO150" s="849"/>
      <c r="HP150" s="849"/>
      <c r="HQ150" s="849"/>
      <c r="HR150" s="849"/>
    </row>
    <row r="151" spans="1:226" s="850" customFormat="1" ht="15" customHeight="1">
      <c r="A151" s="1504"/>
      <c r="B151" s="1507"/>
      <c r="C151" s="1541"/>
      <c r="D151" s="1543"/>
      <c r="E151" s="855" t="s">
        <v>231</v>
      </c>
      <c r="F151" s="856">
        <f>SUM(G151:J151)</f>
        <v>8245</v>
      </c>
      <c r="G151" s="856"/>
      <c r="H151" s="856"/>
      <c r="I151" s="856">
        <v>8245</v>
      </c>
      <c r="J151" s="857"/>
      <c r="K151" s="849"/>
    </row>
    <row r="152" spans="1:226" s="850" customFormat="1" ht="15" customHeight="1">
      <c r="A152" s="1504"/>
      <c r="B152" s="1507"/>
      <c r="C152" s="1541"/>
      <c r="D152" s="1543"/>
      <c r="E152" s="855" t="s">
        <v>232</v>
      </c>
      <c r="F152" s="856">
        <f t="shared" ref="F152:F155" si="9">SUM(G152:J152)</f>
        <v>1455</v>
      </c>
      <c r="G152" s="856">
        <v>1455</v>
      </c>
      <c r="H152" s="856"/>
      <c r="I152" s="856"/>
      <c r="J152" s="857"/>
      <c r="K152" s="849"/>
    </row>
    <row r="153" spans="1:226" s="850" customFormat="1" ht="15" customHeight="1">
      <c r="A153" s="1504"/>
      <c r="B153" s="1507"/>
      <c r="C153" s="1541"/>
      <c r="D153" s="1543"/>
      <c r="E153" s="855" t="s">
        <v>406</v>
      </c>
      <c r="F153" s="856">
        <f t="shared" si="9"/>
        <v>4675</v>
      </c>
      <c r="G153" s="856"/>
      <c r="H153" s="856"/>
      <c r="I153" s="856">
        <v>4675</v>
      </c>
      <c r="J153" s="857"/>
      <c r="K153" s="849"/>
    </row>
    <row r="154" spans="1:226" s="850" customFormat="1" ht="15" customHeight="1">
      <c r="A154" s="1504"/>
      <c r="B154" s="1507"/>
      <c r="C154" s="1541"/>
      <c r="D154" s="1543"/>
      <c r="E154" s="855" t="s">
        <v>408</v>
      </c>
      <c r="F154" s="856">
        <f t="shared" si="9"/>
        <v>825</v>
      </c>
      <c r="G154" s="856">
        <v>825</v>
      </c>
      <c r="H154" s="856"/>
      <c r="I154" s="856"/>
      <c r="J154" s="857"/>
      <c r="K154" s="849"/>
    </row>
    <row r="155" spans="1:226" s="850" customFormat="1" ht="15" customHeight="1">
      <c r="A155" s="1504"/>
      <c r="B155" s="1507"/>
      <c r="C155" s="1541"/>
      <c r="D155" s="1543"/>
      <c r="E155" s="855" t="s">
        <v>422</v>
      </c>
      <c r="F155" s="856">
        <f t="shared" si="9"/>
        <v>68000</v>
      </c>
      <c r="G155" s="856"/>
      <c r="H155" s="856"/>
      <c r="I155" s="856">
        <v>68000</v>
      </c>
      <c r="J155" s="857"/>
      <c r="K155" s="849"/>
    </row>
    <row r="156" spans="1:226" s="850" customFormat="1" ht="15" customHeight="1">
      <c r="A156" s="1504"/>
      <c r="B156" s="1507"/>
      <c r="C156" s="1541"/>
      <c r="D156" s="1543"/>
      <c r="E156" s="855" t="s">
        <v>423</v>
      </c>
      <c r="F156" s="856">
        <f>SUM(G156:J156)</f>
        <v>12000</v>
      </c>
      <c r="G156" s="856">
        <v>12000</v>
      </c>
      <c r="H156" s="856"/>
      <c r="I156" s="856"/>
      <c r="J156" s="857"/>
      <c r="K156" s="849"/>
    </row>
    <row r="157" spans="1:226" s="850" customFormat="1" ht="20.25" customHeight="1">
      <c r="A157" s="1505"/>
      <c r="B157" s="1508"/>
      <c r="C157" s="1517"/>
      <c r="D157" s="1544"/>
      <c r="E157" s="858" t="s">
        <v>977</v>
      </c>
      <c r="F157" s="852">
        <f>SUM(F158:F160)</f>
        <v>0</v>
      </c>
      <c r="G157" s="852">
        <f>SUM(G158:G160)</f>
        <v>0</v>
      </c>
      <c r="H157" s="852">
        <f>SUM(H158:H160)</f>
        <v>0</v>
      </c>
      <c r="I157" s="852">
        <f>SUM(I158:I160)</f>
        <v>0</v>
      </c>
      <c r="J157" s="853">
        <f>SUM(J158:J160)</f>
        <v>0</v>
      </c>
      <c r="K157" s="849"/>
    </row>
    <row r="158" spans="1:226" s="850" customFormat="1" ht="15" hidden="1" customHeight="1">
      <c r="A158" s="902"/>
      <c r="B158" s="903"/>
      <c r="C158" s="904"/>
      <c r="D158" s="905"/>
      <c r="E158" s="868"/>
      <c r="F158" s="869">
        <f>SUM(G158:J158)</f>
        <v>0</v>
      </c>
      <c r="G158" s="869"/>
      <c r="H158" s="869"/>
      <c r="I158" s="869"/>
      <c r="J158" s="870"/>
      <c r="K158" s="849"/>
    </row>
    <row r="159" spans="1:226" s="850" customFormat="1" ht="15" hidden="1" customHeight="1">
      <c r="A159" s="902"/>
      <c r="B159" s="903"/>
      <c r="C159" s="904"/>
      <c r="D159" s="905"/>
      <c r="E159" s="855"/>
      <c r="F159" s="856"/>
      <c r="G159" s="856"/>
      <c r="H159" s="856"/>
      <c r="I159" s="856"/>
      <c r="J159" s="857"/>
      <c r="K159" s="849"/>
    </row>
    <row r="160" spans="1:226" s="850" customFormat="1" ht="15" hidden="1" customHeight="1">
      <c r="A160" s="898"/>
      <c r="B160" s="899"/>
      <c r="C160" s="900"/>
      <c r="D160" s="901"/>
      <c r="E160" s="897"/>
      <c r="F160" s="856">
        <f>SUM(G160:J160)</f>
        <v>0</v>
      </c>
      <c r="G160" s="856"/>
      <c r="H160" s="856"/>
      <c r="I160" s="856"/>
      <c r="J160" s="857"/>
      <c r="K160" s="849"/>
    </row>
    <row r="161" spans="1:226" s="850" customFormat="1" ht="24.95" customHeight="1">
      <c r="A161" s="1503" t="s">
        <v>1010</v>
      </c>
      <c r="B161" s="1506" t="s">
        <v>1011</v>
      </c>
      <c r="C161" s="1516">
        <v>750</v>
      </c>
      <c r="D161" s="1542" t="s">
        <v>381</v>
      </c>
      <c r="E161" s="846" t="s">
        <v>976</v>
      </c>
      <c r="F161" s="847">
        <f>SUM(F162,F174)</f>
        <v>40000</v>
      </c>
      <c r="G161" s="847">
        <f>SUM(G162,G174)</f>
        <v>6000</v>
      </c>
      <c r="H161" s="847">
        <f>SUM(H162,H174)</f>
        <v>0</v>
      </c>
      <c r="I161" s="847">
        <f>SUM(I162,I174)</f>
        <v>34000</v>
      </c>
      <c r="J161" s="848">
        <f>SUM(J162,J174)</f>
        <v>0</v>
      </c>
      <c r="K161" s="849"/>
    </row>
    <row r="162" spans="1:226" s="850" customFormat="1" ht="24.95" customHeight="1">
      <c r="A162" s="1504"/>
      <c r="B162" s="1507"/>
      <c r="C162" s="1541"/>
      <c r="D162" s="1543"/>
      <c r="E162" s="851" t="s">
        <v>990</v>
      </c>
      <c r="F162" s="852">
        <f>SUM(F163,F167)</f>
        <v>40000</v>
      </c>
      <c r="G162" s="852">
        <f>SUM(G163,G167)</f>
        <v>6000</v>
      </c>
      <c r="H162" s="852">
        <f>SUM(H163,H167)</f>
        <v>0</v>
      </c>
      <c r="I162" s="852">
        <f>SUM(I163,I167)</f>
        <v>34000</v>
      </c>
      <c r="J162" s="853">
        <f>SUM(J163,J167)</f>
        <v>0</v>
      </c>
      <c r="K162" s="849"/>
    </row>
    <row r="163" spans="1:226" s="850" customFormat="1" ht="24.95" hidden="1" customHeight="1">
      <c r="A163" s="1504"/>
      <c r="B163" s="1507"/>
      <c r="C163" s="1541"/>
      <c r="D163" s="1543"/>
      <c r="E163" s="860" t="s">
        <v>981</v>
      </c>
      <c r="F163" s="861">
        <f>SUM(F164:F166)</f>
        <v>0</v>
      </c>
      <c r="G163" s="861">
        <f>SUM(G164:G166)</f>
        <v>0</v>
      </c>
      <c r="H163" s="861">
        <f>SUM(H164:H166)</f>
        <v>0</v>
      </c>
      <c r="I163" s="861">
        <f>SUM(I164:I166)</f>
        <v>0</v>
      </c>
      <c r="J163" s="862">
        <f>SUM(J164:J166)</f>
        <v>0</v>
      </c>
      <c r="K163" s="849"/>
    </row>
    <row r="164" spans="1:226" s="850" customFormat="1" ht="15" hidden="1" customHeight="1">
      <c r="A164" s="1504"/>
      <c r="B164" s="1507"/>
      <c r="C164" s="1541"/>
      <c r="D164" s="1543"/>
      <c r="E164" s="855"/>
      <c r="F164" s="856">
        <f>SUM(G164:J164)</f>
        <v>0</v>
      </c>
      <c r="G164" s="856"/>
      <c r="H164" s="856"/>
      <c r="I164" s="856"/>
      <c r="J164" s="857"/>
      <c r="K164" s="849"/>
    </row>
    <row r="165" spans="1:226" s="850" customFormat="1" ht="15" hidden="1" customHeight="1">
      <c r="A165" s="1504"/>
      <c r="B165" s="1507"/>
      <c r="C165" s="1541"/>
      <c r="D165" s="1543"/>
      <c r="E165" s="855"/>
      <c r="F165" s="856">
        <f>SUM(G165:J165)</f>
        <v>0</v>
      </c>
      <c r="G165" s="856"/>
      <c r="H165" s="856"/>
      <c r="I165" s="856"/>
      <c r="J165" s="857"/>
      <c r="K165" s="849"/>
    </row>
    <row r="166" spans="1:226" s="850" customFormat="1" ht="15" hidden="1" customHeight="1">
      <c r="A166" s="1504"/>
      <c r="B166" s="1507"/>
      <c r="C166" s="1541"/>
      <c r="D166" s="1543"/>
      <c r="E166" s="855"/>
      <c r="F166" s="856">
        <f>SUM(G166:J166)</f>
        <v>0</v>
      </c>
      <c r="G166" s="856"/>
      <c r="H166" s="856"/>
      <c r="I166" s="856"/>
      <c r="J166" s="857"/>
      <c r="K166" s="849"/>
    </row>
    <row r="167" spans="1:226" s="850" customFormat="1" ht="24.95" customHeight="1">
      <c r="A167" s="1504"/>
      <c r="B167" s="1507"/>
      <c r="C167" s="1541"/>
      <c r="D167" s="1543"/>
      <c r="E167" s="860" t="s">
        <v>982</v>
      </c>
      <c r="F167" s="861">
        <f>SUM(F168:F173)</f>
        <v>40000</v>
      </c>
      <c r="G167" s="861">
        <f>SUM(G168:G173)</f>
        <v>6000</v>
      </c>
      <c r="H167" s="861">
        <f>SUM(H168:H173)</f>
        <v>0</v>
      </c>
      <c r="I167" s="861">
        <f>SUM(I168:I173)</f>
        <v>34000</v>
      </c>
      <c r="J167" s="862">
        <f>SUM(J168:J173)</f>
        <v>0</v>
      </c>
      <c r="K167" s="849"/>
      <c r="L167" s="849"/>
      <c r="M167" s="849"/>
      <c r="N167" s="849"/>
      <c r="O167" s="849"/>
      <c r="P167" s="849"/>
      <c r="Q167" s="849"/>
      <c r="R167" s="849"/>
      <c r="S167" s="849"/>
      <c r="T167" s="849"/>
      <c r="U167" s="849"/>
      <c r="V167" s="849"/>
      <c r="W167" s="849"/>
      <c r="X167" s="849"/>
      <c r="Y167" s="849"/>
      <c r="Z167" s="849"/>
      <c r="AA167" s="849"/>
      <c r="AB167" s="849"/>
      <c r="AC167" s="849"/>
      <c r="AD167" s="849"/>
      <c r="AE167" s="849"/>
      <c r="AF167" s="849"/>
      <c r="AG167" s="849"/>
      <c r="AH167" s="849"/>
      <c r="AI167" s="849"/>
      <c r="AJ167" s="849"/>
      <c r="AK167" s="849"/>
      <c r="AL167" s="849"/>
      <c r="AM167" s="849"/>
      <c r="AN167" s="849"/>
      <c r="AO167" s="849"/>
      <c r="AP167" s="849"/>
      <c r="AQ167" s="849"/>
      <c r="AR167" s="849"/>
      <c r="AS167" s="849"/>
      <c r="AT167" s="849"/>
      <c r="AU167" s="849"/>
      <c r="AV167" s="849"/>
      <c r="AW167" s="849"/>
      <c r="AX167" s="849"/>
      <c r="AY167" s="849"/>
      <c r="AZ167" s="849"/>
      <c r="BA167" s="849"/>
      <c r="BB167" s="849"/>
      <c r="BC167" s="849"/>
      <c r="BD167" s="849"/>
      <c r="BE167" s="849"/>
      <c r="BF167" s="849"/>
      <c r="BG167" s="849"/>
      <c r="BH167" s="849"/>
      <c r="BI167" s="849"/>
      <c r="BJ167" s="849"/>
      <c r="BK167" s="849"/>
      <c r="BL167" s="849"/>
      <c r="BM167" s="849"/>
      <c r="BN167" s="849"/>
      <c r="BO167" s="849"/>
      <c r="BP167" s="849"/>
      <c r="BQ167" s="849"/>
      <c r="BR167" s="849"/>
      <c r="BS167" s="849"/>
      <c r="BT167" s="849"/>
      <c r="BU167" s="849"/>
      <c r="BV167" s="849"/>
      <c r="BW167" s="849"/>
      <c r="BX167" s="849"/>
      <c r="BY167" s="849"/>
      <c r="BZ167" s="849"/>
      <c r="CA167" s="849"/>
      <c r="CB167" s="849"/>
      <c r="CC167" s="849"/>
      <c r="CD167" s="849"/>
      <c r="CE167" s="849"/>
      <c r="CF167" s="849"/>
      <c r="CG167" s="849"/>
      <c r="CH167" s="849"/>
      <c r="CI167" s="849"/>
      <c r="CJ167" s="849"/>
      <c r="CK167" s="849"/>
      <c r="CL167" s="849"/>
      <c r="CM167" s="849"/>
      <c r="CN167" s="849"/>
      <c r="CO167" s="849"/>
      <c r="CP167" s="849"/>
      <c r="CQ167" s="849"/>
      <c r="CR167" s="849"/>
      <c r="CS167" s="849"/>
      <c r="CT167" s="849"/>
      <c r="CU167" s="849"/>
      <c r="CV167" s="849"/>
      <c r="CW167" s="849"/>
      <c r="CX167" s="849"/>
      <c r="CY167" s="849"/>
      <c r="CZ167" s="849"/>
      <c r="DA167" s="849"/>
      <c r="DB167" s="849"/>
      <c r="DC167" s="849"/>
      <c r="DD167" s="849"/>
      <c r="DE167" s="849"/>
      <c r="DF167" s="849"/>
      <c r="DG167" s="849"/>
      <c r="DH167" s="849"/>
      <c r="DI167" s="849"/>
      <c r="DJ167" s="849"/>
      <c r="DK167" s="849"/>
      <c r="DL167" s="849"/>
      <c r="DM167" s="849"/>
      <c r="DN167" s="849"/>
      <c r="DO167" s="849"/>
      <c r="DP167" s="849"/>
      <c r="DQ167" s="849"/>
      <c r="DR167" s="849"/>
      <c r="DS167" s="849"/>
      <c r="DT167" s="849"/>
      <c r="DU167" s="849"/>
      <c r="DV167" s="849"/>
      <c r="DW167" s="849"/>
      <c r="DX167" s="849"/>
      <c r="DY167" s="849"/>
      <c r="DZ167" s="849"/>
      <c r="EA167" s="849"/>
      <c r="EB167" s="849"/>
      <c r="EC167" s="849"/>
      <c r="ED167" s="849"/>
      <c r="EE167" s="849"/>
      <c r="EF167" s="849"/>
      <c r="EG167" s="849"/>
      <c r="EH167" s="849"/>
      <c r="EI167" s="849"/>
      <c r="EJ167" s="849"/>
      <c r="EK167" s="849"/>
      <c r="EL167" s="849"/>
      <c r="EM167" s="849"/>
      <c r="EN167" s="849"/>
      <c r="EO167" s="849"/>
      <c r="EP167" s="849"/>
      <c r="EQ167" s="849"/>
      <c r="ER167" s="849"/>
      <c r="ES167" s="849"/>
      <c r="ET167" s="849"/>
      <c r="EU167" s="849"/>
      <c r="EV167" s="849"/>
      <c r="EW167" s="849"/>
      <c r="EX167" s="849"/>
      <c r="EY167" s="849"/>
      <c r="EZ167" s="849"/>
      <c r="FA167" s="849"/>
      <c r="FB167" s="849"/>
      <c r="FC167" s="849"/>
      <c r="FD167" s="849"/>
      <c r="FE167" s="849"/>
      <c r="FF167" s="849"/>
      <c r="FG167" s="849"/>
      <c r="FH167" s="849"/>
      <c r="FI167" s="849"/>
      <c r="FJ167" s="849"/>
      <c r="FK167" s="849"/>
      <c r="FL167" s="849"/>
      <c r="FM167" s="849"/>
      <c r="FN167" s="849"/>
      <c r="FO167" s="849"/>
      <c r="FP167" s="849"/>
      <c r="FQ167" s="849"/>
      <c r="FR167" s="849"/>
      <c r="FS167" s="849"/>
      <c r="FT167" s="849"/>
      <c r="FU167" s="849"/>
      <c r="FV167" s="849"/>
      <c r="FW167" s="849"/>
      <c r="FX167" s="849"/>
      <c r="FY167" s="849"/>
      <c r="FZ167" s="849"/>
      <c r="GA167" s="849"/>
      <c r="GB167" s="849"/>
      <c r="GC167" s="849"/>
      <c r="GD167" s="849"/>
      <c r="GE167" s="849"/>
      <c r="GF167" s="849"/>
      <c r="GG167" s="849"/>
      <c r="GH167" s="849"/>
      <c r="GI167" s="849"/>
      <c r="GJ167" s="849"/>
      <c r="GK167" s="849"/>
      <c r="GL167" s="849"/>
      <c r="GM167" s="849"/>
      <c r="GN167" s="849"/>
      <c r="GO167" s="849"/>
      <c r="GP167" s="849"/>
      <c r="GQ167" s="849"/>
      <c r="GR167" s="849"/>
      <c r="GS167" s="849"/>
      <c r="GT167" s="849"/>
      <c r="GU167" s="849"/>
      <c r="GV167" s="849"/>
      <c r="GW167" s="849"/>
      <c r="GX167" s="849"/>
      <c r="GY167" s="849"/>
      <c r="GZ167" s="849"/>
      <c r="HA167" s="849"/>
      <c r="HB167" s="849"/>
      <c r="HC167" s="849"/>
      <c r="HD167" s="849"/>
      <c r="HE167" s="849"/>
      <c r="HF167" s="849"/>
      <c r="HG167" s="849"/>
      <c r="HH167" s="849"/>
      <c r="HI167" s="849"/>
      <c r="HJ167" s="849"/>
      <c r="HK167" s="849"/>
      <c r="HL167" s="849"/>
      <c r="HM167" s="849"/>
      <c r="HN167" s="849"/>
      <c r="HO167" s="849"/>
      <c r="HP167" s="849"/>
      <c r="HQ167" s="849"/>
      <c r="HR167" s="849"/>
    </row>
    <row r="168" spans="1:226" s="850" customFormat="1" ht="15" customHeight="1">
      <c r="A168" s="1504"/>
      <c r="B168" s="1507"/>
      <c r="C168" s="1541"/>
      <c r="D168" s="1543"/>
      <c r="E168" s="855" t="s">
        <v>231</v>
      </c>
      <c r="F168" s="856">
        <f>SUM(G168:J168)</f>
        <v>17000</v>
      </c>
      <c r="G168" s="856"/>
      <c r="H168" s="856"/>
      <c r="I168" s="856">
        <v>17000</v>
      </c>
      <c r="J168" s="857"/>
      <c r="K168" s="849"/>
    </row>
    <row r="169" spans="1:226" s="850" customFormat="1" ht="15" customHeight="1">
      <c r="A169" s="1504"/>
      <c r="B169" s="1507"/>
      <c r="C169" s="1541"/>
      <c r="D169" s="1543"/>
      <c r="E169" s="855" t="s">
        <v>232</v>
      </c>
      <c r="F169" s="856">
        <f t="shared" ref="F169:F172" si="10">SUM(G169:J169)</f>
        <v>3000</v>
      </c>
      <c r="G169" s="856">
        <v>3000</v>
      </c>
      <c r="H169" s="856"/>
      <c r="I169" s="856"/>
      <c r="J169" s="857"/>
      <c r="K169" s="849"/>
    </row>
    <row r="170" spans="1:226" s="850" customFormat="1" ht="15" customHeight="1">
      <c r="A170" s="1504"/>
      <c r="B170" s="1507"/>
      <c r="C170" s="1541"/>
      <c r="D170" s="1543"/>
      <c r="E170" s="855" t="s">
        <v>237</v>
      </c>
      <c r="F170" s="856">
        <f t="shared" si="10"/>
        <v>8500</v>
      </c>
      <c r="G170" s="856"/>
      <c r="H170" s="856"/>
      <c r="I170" s="856">
        <v>8500</v>
      </c>
      <c r="J170" s="857"/>
      <c r="K170" s="849"/>
    </row>
    <row r="171" spans="1:226" s="850" customFormat="1" ht="15" customHeight="1">
      <c r="A171" s="1504"/>
      <c r="B171" s="1507"/>
      <c r="C171" s="1541"/>
      <c r="D171" s="1543"/>
      <c r="E171" s="855" t="s">
        <v>238</v>
      </c>
      <c r="F171" s="856">
        <f t="shared" si="10"/>
        <v>1500</v>
      </c>
      <c r="G171" s="856">
        <v>1500</v>
      </c>
      <c r="H171" s="856"/>
      <c r="I171" s="856"/>
      <c r="J171" s="857"/>
      <c r="K171" s="849"/>
    </row>
    <row r="172" spans="1:226" s="850" customFormat="1" ht="15" customHeight="1">
      <c r="A172" s="1504"/>
      <c r="B172" s="1507"/>
      <c r="C172" s="1541"/>
      <c r="D172" s="1543"/>
      <c r="E172" s="855" t="s">
        <v>233</v>
      </c>
      <c r="F172" s="856">
        <f t="shared" si="10"/>
        <v>8500</v>
      </c>
      <c r="G172" s="856"/>
      <c r="H172" s="856"/>
      <c r="I172" s="856">
        <v>8500</v>
      </c>
      <c r="J172" s="857"/>
      <c r="K172" s="849"/>
    </row>
    <row r="173" spans="1:226" s="850" customFormat="1" ht="15" customHeight="1">
      <c r="A173" s="1504"/>
      <c r="B173" s="1507"/>
      <c r="C173" s="1541"/>
      <c r="D173" s="1543"/>
      <c r="E173" s="855" t="s">
        <v>234</v>
      </c>
      <c r="F173" s="856">
        <f>SUM(G173:J173)</f>
        <v>1500</v>
      </c>
      <c r="G173" s="856">
        <v>1500</v>
      </c>
      <c r="H173" s="856"/>
      <c r="I173" s="856"/>
      <c r="J173" s="857"/>
      <c r="K173" s="849"/>
    </row>
    <row r="174" spans="1:226" s="850" customFormat="1" ht="24.95" customHeight="1">
      <c r="A174" s="1504"/>
      <c r="B174" s="1507"/>
      <c r="C174" s="1541"/>
      <c r="D174" s="1543"/>
      <c r="E174" s="858" t="s">
        <v>977</v>
      </c>
      <c r="F174" s="852">
        <f>SUM(F175:F177)</f>
        <v>0</v>
      </c>
      <c r="G174" s="852">
        <f>SUM(G175:G177)</f>
        <v>0</v>
      </c>
      <c r="H174" s="852">
        <f>SUM(H175:H177)</f>
        <v>0</v>
      </c>
      <c r="I174" s="852">
        <f>SUM(I175:I177)</f>
        <v>0</v>
      </c>
      <c r="J174" s="853">
        <f>SUM(J175:J177)</f>
        <v>0</v>
      </c>
      <c r="K174" s="849"/>
    </row>
    <row r="175" spans="1:226" s="850" customFormat="1" ht="15" hidden="1" customHeight="1">
      <c r="A175" s="1504"/>
      <c r="B175" s="1507"/>
      <c r="C175" s="1541"/>
      <c r="D175" s="1543"/>
      <c r="E175" s="855"/>
      <c r="F175" s="856">
        <f>SUM(G175:J175)</f>
        <v>0</v>
      </c>
      <c r="G175" s="856"/>
      <c r="H175" s="856"/>
      <c r="I175" s="856"/>
      <c r="J175" s="857"/>
      <c r="K175" s="849"/>
    </row>
    <row r="176" spans="1:226" s="850" customFormat="1" ht="15" hidden="1" customHeight="1">
      <c r="A176" s="1504"/>
      <c r="B176" s="1507"/>
      <c r="C176" s="1541"/>
      <c r="D176" s="1543"/>
      <c r="E176" s="855"/>
      <c r="F176" s="856"/>
      <c r="G176" s="856"/>
      <c r="H176" s="856"/>
      <c r="I176" s="856"/>
      <c r="J176" s="857"/>
      <c r="K176" s="849"/>
    </row>
    <row r="177" spans="1:226" s="850" customFormat="1" ht="15" hidden="1" customHeight="1">
      <c r="A177" s="1505"/>
      <c r="B177" s="1508"/>
      <c r="C177" s="1517"/>
      <c r="D177" s="1544"/>
      <c r="E177" s="897"/>
      <c r="F177" s="856">
        <f>SUM(G177:J177)</f>
        <v>0</v>
      </c>
      <c r="G177" s="856"/>
      <c r="H177" s="856"/>
      <c r="I177" s="856"/>
      <c r="J177" s="857"/>
      <c r="K177" s="849"/>
    </row>
    <row r="178" spans="1:226" s="850" customFormat="1" ht="24.95" customHeight="1">
      <c r="A178" s="1500" t="s">
        <v>1012</v>
      </c>
      <c r="B178" s="1501" t="s">
        <v>1013</v>
      </c>
      <c r="C178" s="1495">
        <v>730</v>
      </c>
      <c r="D178" s="1502" t="s">
        <v>367</v>
      </c>
      <c r="E178" s="846" t="s">
        <v>976</v>
      </c>
      <c r="F178" s="847">
        <f>SUM(F179,F191)</f>
        <v>1000000</v>
      </c>
      <c r="G178" s="847">
        <f>SUM(G179,G191)</f>
        <v>0</v>
      </c>
      <c r="H178" s="847">
        <f>SUM(H179,H191)</f>
        <v>1000000</v>
      </c>
      <c r="I178" s="847">
        <f>SUM(I179,I191)</f>
        <v>0</v>
      </c>
      <c r="J178" s="848">
        <f>SUM(J179,J191)</f>
        <v>0</v>
      </c>
      <c r="K178" s="849"/>
    </row>
    <row r="179" spans="1:226" s="850" customFormat="1" ht="24.95" customHeight="1">
      <c r="A179" s="1500"/>
      <c r="B179" s="1501"/>
      <c r="C179" s="1495"/>
      <c r="D179" s="1502"/>
      <c r="E179" s="851" t="s">
        <v>990</v>
      </c>
      <c r="F179" s="852">
        <f>SUM(F180,F184)</f>
        <v>850000</v>
      </c>
      <c r="G179" s="852">
        <f>SUM(G180,G184)</f>
        <v>0</v>
      </c>
      <c r="H179" s="852">
        <f>SUM(H180,H184)</f>
        <v>850000</v>
      </c>
      <c r="I179" s="852">
        <f>SUM(I180,I184)</f>
        <v>0</v>
      </c>
      <c r="J179" s="853">
        <f>SUM(J180,J184)</f>
        <v>0</v>
      </c>
      <c r="K179" s="849"/>
    </row>
    <row r="180" spans="1:226" s="850" customFormat="1" ht="24.95" customHeight="1">
      <c r="A180" s="1500"/>
      <c r="B180" s="1501"/>
      <c r="C180" s="1495"/>
      <c r="D180" s="1502"/>
      <c r="E180" s="860" t="s">
        <v>981</v>
      </c>
      <c r="F180" s="861">
        <f>SUM(F181:F183)</f>
        <v>60000</v>
      </c>
      <c r="G180" s="861">
        <f>SUM(G181:G183)</f>
        <v>0</v>
      </c>
      <c r="H180" s="861">
        <f>SUM(H181:H183)</f>
        <v>60000</v>
      </c>
      <c r="I180" s="861">
        <f>SUM(I181:I183)</f>
        <v>0</v>
      </c>
      <c r="J180" s="862">
        <f>SUM(J181:J183)</f>
        <v>0</v>
      </c>
      <c r="K180" s="849"/>
    </row>
    <row r="181" spans="1:226" s="850" customFormat="1" ht="15" customHeight="1">
      <c r="A181" s="1500"/>
      <c r="B181" s="1501"/>
      <c r="C181" s="1495"/>
      <c r="D181" s="1502"/>
      <c r="E181" s="855" t="s">
        <v>368</v>
      </c>
      <c r="F181" s="856">
        <f>SUM(G181:J181)</f>
        <v>60000</v>
      </c>
      <c r="G181" s="856"/>
      <c r="H181" s="856">
        <v>60000</v>
      </c>
      <c r="I181" s="856"/>
      <c r="J181" s="857"/>
      <c r="K181" s="849"/>
    </row>
    <row r="182" spans="1:226" s="850" customFormat="1" ht="15" hidden="1" customHeight="1">
      <c r="A182" s="1500"/>
      <c r="B182" s="1501"/>
      <c r="C182" s="1495"/>
      <c r="D182" s="1502"/>
      <c r="E182" s="855"/>
      <c r="F182" s="856">
        <f>SUM(G182:J182)</f>
        <v>0</v>
      </c>
      <c r="G182" s="856"/>
      <c r="H182" s="856"/>
      <c r="I182" s="856"/>
      <c r="J182" s="857"/>
      <c r="K182" s="849"/>
    </row>
    <row r="183" spans="1:226" s="850" customFormat="1" ht="15" hidden="1" customHeight="1">
      <c r="A183" s="1500"/>
      <c r="B183" s="1501"/>
      <c r="C183" s="1495"/>
      <c r="D183" s="1502"/>
      <c r="E183" s="855"/>
      <c r="F183" s="856">
        <f>SUM(G183:J183)</f>
        <v>0</v>
      </c>
      <c r="G183" s="856"/>
      <c r="H183" s="856"/>
      <c r="I183" s="856"/>
      <c r="J183" s="857"/>
      <c r="K183" s="849"/>
    </row>
    <row r="184" spans="1:226" s="850" customFormat="1" ht="24.95" customHeight="1">
      <c r="A184" s="1500"/>
      <c r="B184" s="1501"/>
      <c r="C184" s="1495"/>
      <c r="D184" s="1502"/>
      <c r="E184" s="860" t="s">
        <v>982</v>
      </c>
      <c r="F184" s="861">
        <f>SUM(F185:F190)</f>
        <v>790000</v>
      </c>
      <c r="G184" s="861">
        <f>SUM(G185:G190)</f>
        <v>0</v>
      </c>
      <c r="H184" s="861">
        <f>SUM(H185:H190)</f>
        <v>790000</v>
      </c>
      <c r="I184" s="861">
        <f>SUM(I185:I190)</f>
        <v>0</v>
      </c>
      <c r="J184" s="862">
        <f>SUM(J185:J190)</f>
        <v>0</v>
      </c>
      <c r="K184" s="849"/>
      <c r="L184" s="849"/>
      <c r="M184" s="849"/>
      <c r="N184" s="849"/>
      <c r="O184" s="849"/>
      <c r="P184" s="849"/>
      <c r="Q184" s="849"/>
      <c r="R184" s="849"/>
      <c r="S184" s="849"/>
      <c r="T184" s="849"/>
      <c r="U184" s="849"/>
      <c r="V184" s="849"/>
      <c r="W184" s="849"/>
      <c r="X184" s="849"/>
      <c r="Y184" s="849"/>
      <c r="Z184" s="849"/>
      <c r="AA184" s="849"/>
      <c r="AB184" s="849"/>
      <c r="AC184" s="849"/>
      <c r="AD184" s="849"/>
      <c r="AE184" s="849"/>
      <c r="AF184" s="849"/>
      <c r="AG184" s="849"/>
      <c r="AH184" s="849"/>
      <c r="AI184" s="849"/>
      <c r="AJ184" s="849"/>
      <c r="AK184" s="849"/>
      <c r="AL184" s="849"/>
      <c r="AM184" s="849"/>
      <c r="AN184" s="849"/>
      <c r="AO184" s="849"/>
      <c r="AP184" s="849"/>
      <c r="AQ184" s="849"/>
      <c r="AR184" s="849"/>
      <c r="AS184" s="849"/>
      <c r="AT184" s="849"/>
      <c r="AU184" s="849"/>
      <c r="AV184" s="849"/>
      <c r="AW184" s="849"/>
      <c r="AX184" s="849"/>
      <c r="AY184" s="849"/>
      <c r="AZ184" s="849"/>
      <c r="BA184" s="849"/>
      <c r="BB184" s="849"/>
      <c r="BC184" s="849"/>
      <c r="BD184" s="849"/>
      <c r="BE184" s="849"/>
      <c r="BF184" s="849"/>
      <c r="BG184" s="849"/>
      <c r="BH184" s="849"/>
      <c r="BI184" s="849"/>
      <c r="BJ184" s="849"/>
      <c r="BK184" s="849"/>
      <c r="BL184" s="849"/>
      <c r="BM184" s="849"/>
      <c r="BN184" s="849"/>
      <c r="BO184" s="849"/>
      <c r="BP184" s="849"/>
      <c r="BQ184" s="849"/>
      <c r="BR184" s="849"/>
      <c r="BS184" s="849"/>
      <c r="BT184" s="849"/>
      <c r="BU184" s="849"/>
      <c r="BV184" s="849"/>
      <c r="BW184" s="849"/>
      <c r="BX184" s="849"/>
      <c r="BY184" s="849"/>
      <c r="BZ184" s="849"/>
      <c r="CA184" s="849"/>
      <c r="CB184" s="849"/>
      <c r="CC184" s="849"/>
      <c r="CD184" s="849"/>
      <c r="CE184" s="849"/>
      <c r="CF184" s="849"/>
      <c r="CG184" s="849"/>
      <c r="CH184" s="849"/>
      <c r="CI184" s="849"/>
      <c r="CJ184" s="849"/>
      <c r="CK184" s="849"/>
      <c r="CL184" s="849"/>
      <c r="CM184" s="849"/>
      <c r="CN184" s="849"/>
      <c r="CO184" s="849"/>
      <c r="CP184" s="849"/>
      <c r="CQ184" s="849"/>
      <c r="CR184" s="849"/>
      <c r="CS184" s="849"/>
      <c r="CT184" s="849"/>
      <c r="CU184" s="849"/>
      <c r="CV184" s="849"/>
      <c r="CW184" s="849"/>
      <c r="CX184" s="849"/>
      <c r="CY184" s="849"/>
      <c r="CZ184" s="849"/>
      <c r="DA184" s="849"/>
      <c r="DB184" s="849"/>
      <c r="DC184" s="849"/>
      <c r="DD184" s="849"/>
      <c r="DE184" s="849"/>
      <c r="DF184" s="849"/>
      <c r="DG184" s="849"/>
      <c r="DH184" s="849"/>
      <c r="DI184" s="849"/>
      <c r="DJ184" s="849"/>
      <c r="DK184" s="849"/>
      <c r="DL184" s="849"/>
      <c r="DM184" s="849"/>
      <c r="DN184" s="849"/>
      <c r="DO184" s="849"/>
      <c r="DP184" s="849"/>
      <c r="DQ184" s="849"/>
      <c r="DR184" s="849"/>
      <c r="DS184" s="849"/>
      <c r="DT184" s="849"/>
      <c r="DU184" s="849"/>
      <c r="DV184" s="849"/>
      <c r="DW184" s="849"/>
      <c r="DX184" s="849"/>
      <c r="DY184" s="849"/>
      <c r="DZ184" s="849"/>
      <c r="EA184" s="849"/>
      <c r="EB184" s="849"/>
      <c r="EC184" s="849"/>
      <c r="ED184" s="849"/>
      <c r="EE184" s="849"/>
      <c r="EF184" s="849"/>
      <c r="EG184" s="849"/>
      <c r="EH184" s="849"/>
      <c r="EI184" s="849"/>
      <c r="EJ184" s="849"/>
      <c r="EK184" s="849"/>
      <c r="EL184" s="849"/>
      <c r="EM184" s="849"/>
      <c r="EN184" s="849"/>
      <c r="EO184" s="849"/>
      <c r="EP184" s="849"/>
      <c r="EQ184" s="849"/>
      <c r="ER184" s="849"/>
      <c r="ES184" s="849"/>
      <c r="ET184" s="849"/>
      <c r="EU184" s="849"/>
      <c r="EV184" s="849"/>
      <c r="EW184" s="849"/>
      <c r="EX184" s="849"/>
      <c r="EY184" s="849"/>
      <c r="EZ184" s="849"/>
      <c r="FA184" s="849"/>
      <c r="FB184" s="849"/>
      <c r="FC184" s="849"/>
      <c r="FD184" s="849"/>
      <c r="FE184" s="849"/>
      <c r="FF184" s="849"/>
      <c r="FG184" s="849"/>
      <c r="FH184" s="849"/>
      <c r="FI184" s="849"/>
      <c r="FJ184" s="849"/>
      <c r="FK184" s="849"/>
      <c r="FL184" s="849"/>
      <c r="FM184" s="849"/>
      <c r="FN184" s="849"/>
      <c r="FO184" s="849"/>
      <c r="FP184" s="849"/>
      <c r="FQ184" s="849"/>
      <c r="FR184" s="849"/>
      <c r="FS184" s="849"/>
      <c r="FT184" s="849"/>
      <c r="FU184" s="849"/>
      <c r="FV184" s="849"/>
      <c r="FW184" s="849"/>
      <c r="FX184" s="849"/>
      <c r="FY184" s="849"/>
      <c r="FZ184" s="849"/>
      <c r="GA184" s="849"/>
      <c r="GB184" s="849"/>
      <c r="GC184" s="849"/>
      <c r="GD184" s="849"/>
      <c r="GE184" s="849"/>
      <c r="GF184" s="849"/>
      <c r="GG184" s="849"/>
      <c r="GH184" s="849"/>
      <c r="GI184" s="849"/>
      <c r="GJ184" s="849"/>
      <c r="GK184" s="849"/>
      <c r="GL184" s="849"/>
      <c r="GM184" s="849"/>
      <c r="GN184" s="849"/>
      <c r="GO184" s="849"/>
      <c r="GP184" s="849"/>
      <c r="GQ184" s="849"/>
      <c r="GR184" s="849"/>
      <c r="GS184" s="849"/>
      <c r="GT184" s="849"/>
      <c r="GU184" s="849"/>
      <c r="GV184" s="849"/>
      <c r="GW184" s="849"/>
      <c r="GX184" s="849"/>
      <c r="GY184" s="849"/>
      <c r="GZ184" s="849"/>
      <c r="HA184" s="849"/>
      <c r="HB184" s="849"/>
      <c r="HC184" s="849"/>
      <c r="HD184" s="849"/>
      <c r="HE184" s="849"/>
      <c r="HF184" s="849"/>
      <c r="HG184" s="849"/>
      <c r="HH184" s="849"/>
      <c r="HI184" s="849"/>
      <c r="HJ184" s="849"/>
      <c r="HK184" s="849"/>
      <c r="HL184" s="849"/>
      <c r="HM184" s="849"/>
      <c r="HN184" s="849"/>
      <c r="HO184" s="849"/>
      <c r="HP184" s="849"/>
      <c r="HQ184" s="849"/>
      <c r="HR184" s="849"/>
    </row>
    <row r="185" spans="1:226" s="850" customFormat="1" ht="15" customHeight="1">
      <c r="A185" s="1500"/>
      <c r="B185" s="1501"/>
      <c r="C185" s="1495"/>
      <c r="D185" s="1502"/>
      <c r="E185" s="855" t="s">
        <v>369</v>
      </c>
      <c r="F185" s="856">
        <f>SUM(G185:J185)</f>
        <v>60000</v>
      </c>
      <c r="G185" s="856"/>
      <c r="H185" s="856">
        <v>60000</v>
      </c>
      <c r="I185" s="856"/>
      <c r="J185" s="857"/>
      <c r="K185" s="849"/>
    </row>
    <row r="186" spans="1:226" s="850" customFormat="1" ht="15" customHeight="1">
      <c r="A186" s="1500"/>
      <c r="B186" s="1501"/>
      <c r="C186" s="1495"/>
      <c r="D186" s="1502"/>
      <c r="E186" s="855" t="s">
        <v>338</v>
      </c>
      <c r="F186" s="856">
        <f t="shared" ref="F186:F189" si="11">SUM(G186:J186)</f>
        <v>480000</v>
      </c>
      <c r="G186" s="856"/>
      <c r="H186" s="856">
        <v>480000</v>
      </c>
      <c r="I186" s="856"/>
      <c r="J186" s="857"/>
      <c r="K186" s="849"/>
    </row>
    <row r="187" spans="1:226" s="850" customFormat="1" ht="15" customHeight="1">
      <c r="A187" s="1500"/>
      <c r="B187" s="1501"/>
      <c r="C187" s="1495"/>
      <c r="D187" s="1502"/>
      <c r="E187" s="855" t="s">
        <v>370</v>
      </c>
      <c r="F187" s="856">
        <f t="shared" si="11"/>
        <v>40000</v>
      </c>
      <c r="G187" s="856"/>
      <c r="H187" s="856">
        <v>40000</v>
      </c>
      <c r="I187" s="856"/>
      <c r="J187" s="857"/>
      <c r="K187" s="849"/>
    </row>
    <row r="188" spans="1:226" s="850" customFormat="1" ht="15" customHeight="1">
      <c r="A188" s="1500"/>
      <c r="B188" s="1501"/>
      <c r="C188" s="1495"/>
      <c r="D188" s="1502"/>
      <c r="E188" s="855" t="s">
        <v>297</v>
      </c>
      <c r="F188" s="856">
        <f t="shared" si="11"/>
        <v>60000</v>
      </c>
      <c r="G188" s="856"/>
      <c r="H188" s="856">
        <v>60000</v>
      </c>
      <c r="I188" s="856"/>
      <c r="J188" s="857"/>
      <c r="K188" s="849"/>
    </row>
    <row r="189" spans="1:226" s="850" customFormat="1" ht="15" customHeight="1">
      <c r="A189" s="1500"/>
      <c r="B189" s="1501"/>
      <c r="C189" s="1495"/>
      <c r="D189" s="1502"/>
      <c r="E189" s="855" t="s">
        <v>339</v>
      </c>
      <c r="F189" s="856">
        <f t="shared" si="11"/>
        <v>60000</v>
      </c>
      <c r="G189" s="856"/>
      <c r="H189" s="856">
        <v>60000</v>
      </c>
      <c r="I189" s="856"/>
      <c r="J189" s="857"/>
      <c r="K189" s="849"/>
    </row>
    <row r="190" spans="1:226" s="850" customFormat="1" ht="15" customHeight="1">
      <c r="A190" s="1500"/>
      <c r="B190" s="1501"/>
      <c r="C190" s="1495"/>
      <c r="D190" s="1502"/>
      <c r="E190" s="855" t="s">
        <v>340</v>
      </c>
      <c r="F190" s="856">
        <f>SUM(G190:J190)</f>
        <v>90000</v>
      </c>
      <c r="G190" s="856"/>
      <c r="H190" s="856">
        <v>90000</v>
      </c>
      <c r="I190" s="856"/>
      <c r="J190" s="857"/>
      <c r="K190" s="849"/>
    </row>
    <row r="191" spans="1:226" s="850" customFormat="1" ht="24.95" customHeight="1">
      <c r="A191" s="1500"/>
      <c r="B191" s="1501"/>
      <c r="C191" s="1495"/>
      <c r="D191" s="1502"/>
      <c r="E191" s="858" t="s">
        <v>977</v>
      </c>
      <c r="F191" s="852">
        <f>SUM(F192:F194)</f>
        <v>150000</v>
      </c>
      <c r="G191" s="852">
        <f>SUM(G192:G194)</f>
        <v>0</v>
      </c>
      <c r="H191" s="852">
        <f>SUM(H192:H194)</f>
        <v>150000</v>
      </c>
      <c r="I191" s="852">
        <f>SUM(I192:I194)</f>
        <v>0</v>
      </c>
      <c r="J191" s="853">
        <f>SUM(J192:J194)</f>
        <v>0</v>
      </c>
      <c r="K191" s="849"/>
    </row>
    <row r="192" spans="1:226" s="850" customFormat="1" ht="15" hidden="1" customHeight="1">
      <c r="A192" s="1500"/>
      <c r="B192" s="1501"/>
      <c r="C192" s="1495"/>
      <c r="D192" s="1502"/>
      <c r="E192" s="855"/>
      <c r="F192" s="856">
        <f>SUM(G192:J192)</f>
        <v>0</v>
      </c>
      <c r="G192" s="856"/>
      <c r="H192" s="856"/>
      <c r="I192" s="856"/>
      <c r="J192" s="857"/>
      <c r="K192" s="849"/>
    </row>
    <row r="193" spans="1:226" s="850" customFormat="1" ht="15" hidden="1" customHeight="1">
      <c r="A193" s="1500"/>
      <c r="B193" s="1501"/>
      <c r="C193" s="1495"/>
      <c r="D193" s="1502"/>
      <c r="E193" s="855"/>
      <c r="F193" s="856"/>
      <c r="G193" s="856"/>
      <c r="H193" s="856"/>
      <c r="I193" s="856"/>
      <c r="J193" s="857"/>
      <c r="K193" s="849"/>
    </row>
    <row r="194" spans="1:226" s="850" customFormat="1" ht="15" customHeight="1">
      <c r="A194" s="1500"/>
      <c r="B194" s="1501"/>
      <c r="C194" s="1495"/>
      <c r="D194" s="1502"/>
      <c r="E194" s="897">
        <v>6067</v>
      </c>
      <c r="F194" s="856">
        <f>SUM(G194:J194)</f>
        <v>150000</v>
      </c>
      <c r="G194" s="856"/>
      <c r="H194" s="856">
        <v>150000</v>
      </c>
      <c r="I194" s="856"/>
      <c r="J194" s="857"/>
      <c r="K194" s="849"/>
    </row>
    <row r="195" spans="1:226" s="850" customFormat="1" ht="24.95" customHeight="1">
      <c r="A195" s="1500" t="s">
        <v>1014</v>
      </c>
      <c r="B195" s="1501" t="s">
        <v>1015</v>
      </c>
      <c r="C195" s="1495">
        <v>854</v>
      </c>
      <c r="D195" s="1502" t="s">
        <v>670</v>
      </c>
      <c r="E195" s="846" t="s">
        <v>976</v>
      </c>
      <c r="F195" s="847">
        <f>SUM(F196,F215)</f>
        <v>118250</v>
      </c>
      <c r="G195" s="847">
        <f>SUM(G196,G215)</f>
        <v>118250</v>
      </c>
      <c r="H195" s="847">
        <f>SUM(H196,H215)</f>
        <v>0</v>
      </c>
      <c r="I195" s="847">
        <f>SUM(I196,I215)</f>
        <v>0</v>
      </c>
      <c r="J195" s="848">
        <f>SUM(J196,J215)</f>
        <v>0</v>
      </c>
      <c r="K195" s="849"/>
    </row>
    <row r="196" spans="1:226" s="850" customFormat="1" ht="24.95" customHeight="1">
      <c r="A196" s="1500"/>
      <c r="B196" s="1501"/>
      <c r="C196" s="1495"/>
      <c r="D196" s="1502"/>
      <c r="E196" s="851" t="s">
        <v>990</v>
      </c>
      <c r="F196" s="852">
        <f>SUM(F197,F204)</f>
        <v>118250</v>
      </c>
      <c r="G196" s="852">
        <f>SUM(G197,G204)</f>
        <v>118250</v>
      </c>
      <c r="H196" s="852">
        <f>SUM(H197,H204)</f>
        <v>0</v>
      </c>
      <c r="I196" s="852">
        <f>SUM(I197,I204)</f>
        <v>0</v>
      </c>
      <c r="J196" s="853">
        <f>SUM(J197,J204)</f>
        <v>0</v>
      </c>
      <c r="K196" s="849"/>
    </row>
    <row r="197" spans="1:226" s="850" customFormat="1" ht="24.95" customHeight="1">
      <c r="A197" s="1500"/>
      <c r="B197" s="1501"/>
      <c r="C197" s="1495"/>
      <c r="D197" s="1502"/>
      <c r="E197" s="860" t="s">
        <v>981</v>
      </c>
      <c r="F197" s="861">
        <f>SUM(F198:F203)</f>
        <v>7425</v>
      </c>
      <c r="G197" s="861">
        <f>SUM(G198:G203)</f>
        <v>7425</v>
      </c>
      <c r="H197" s="861">
        <f>SUM(H198:H203)</f>
        <v>0</v>
      </c>
      <c r="I197" s="861">
        <f>SUM(I198:I203)</f>
        <v>0</v>
      </c>
      <c r="J197" s="862">
        <f>SUM(J198:J203)</f>
        <v>0</v>
      </c>
      <c r="K197" s="849"/>
    </row>
    <row r="198" spans="1:226" s="850" customFormat="1" ht="15" hidden="1" customHeight="1">
      <c r="A198" s="1500"/>
      <c r="B198" s="1501"/>
      <c r="C198" s="1495"/>
      <c r="D198" s="1502"/>
      <c r="E198" s="855" t="s">
        <v>335</v>
      </c>
      <c r="F198" s="856">
        <f>SUM(G198:J198)</f>
        <v>0</v>
      </c>
      <c r="G198" s="856"/>
      <c r="H198" s="856"/>
      <c r="I198" s="856"/>
      <c r="J198" s="857"/>
      <c r="K198" s="849"/>
    </row>
    <row r="199" spans="1:226" s="850" customFormat="1" ht="15" customHeight="1">
      <c r="A199" s="1500"/>
      <c r="B199" s="1501"/>
      <c r="C199" s="1495"/>
      <c r="D199" s="1502"/>
      <c r="E199" s="855" t="s">
        <v>215</v>
      </c>
      <c r="F199" s="856">
        <f t="shared" ref="F199:F201" si="12">SUM(G199:J199)</f>
        <v>6206</v>
      </c>
      <c r="G199" s="856">
        <v>6206</v>
      </c>
      <c r="H199" s="856"/>
      <c r="I199" s="856"/>
      <c r="J199" s="857"/>
      <c r="K199" s="849"/>
    </row>
    <row r="200" spans="1:226" s="850" customFormat="1" ht="15" hidden="1" customHeight="1">
      <c r="A200" s="1500"/>
      <c r="B200" s="1501"/>
      <c r="C200" s="1495"/>
      <c r="D200" s="1502"/>
      <c r="E200" s="855" t="s">
        <v>336</v>
      </c>
      <c r="F200" s="856">
        <f t="shared" si="12"/>
        <v>0</v>
      </c>
      <c r="G200" s="856"/>
      <c r="H200" s="856"/>
      <c r="I200" s="856"/>
      <c r="J200" s="857"/>
      <c r="K200" s="849"/>
    </row>
    <row r="201" spans="1:226" s="850" customFormat="1" ht="15" customHeight="1">
      <c r="A201" s="1500"/>
      <c r="B201" s="1501"/>
      <c r="C201" s="1495"/>
      <c r="D201" s="1502"/>
      <c r="E201" s="855" t="s">
        <v>219</v>
      </c>
      <c r="F201" s="856">
        <f t="shared" si="12"/>
        <v>1067</v>
      </c>
      <c r="G201" s="856">
        <v>1067</v>
      </c>
      <c r="H201" s="856"/>
      <c r="I201" s="856"/>
      <c r="J201" s="857"/>
      <c r="K201" s="849"/>
    </row>
    <row r="202" spans="1:226" s="850" customFormat="1" ht="15" hidden="1" customHeight="1">
      <c r="A202" s="1500"/>
      <c r="B202" s="1501"/>
      <c r="C202" s="1495"/>
      <c r="D202" s="1502"/>
      <c r="E202" s="855" t="s">
        <v>337</v>
      </c>
      <c r="F202" s="856">
        <f>SUM(G202:J202)</f>
        <v>0</v>
      </c>
      <c r="G202" s="856"/>
      <c r="H202" s="856"/>
      <c r="I202" s="856"/>
      <c r="J202" s="857"/>
      <c r="K202" s="849"/>
    </row>
    <row r="203" spans="1:226" s="850" customFormat="1" ht="15" customHeight="1">
      <c r="A203" s="1500"/>
      <c r="B203" s="1501"/>
      <c r="C203" s="1495"/>
      <c r="D203" s="1502"/>
      <c r="E203" s="855" t="s">
        <v>221</v>
      </c>
      <c r="F203" s="856">
        <f>SUM(G203:J203)</f>
        <v>152</v>
      </c>
      <c r="G203" s="856">
        <v>152</v>
      </c>
      <c r="H203" s="856"/>
      <c r="I203" s="856"/>
      <c r="J203" s="857"/>
      <c r="K203" s="849"/>
    </row>
    <row r="204" spans="1:226" s="850" customFormat="1" ht="24.95" customHeight="1">
      <c r="A204" s="1500"/>
      <c r="B204" s="1501"/>
      <c r="C204" s="1495"/>
      <c r="D204" s="1502"/>
      <c r="E204" s="860" t="s">
        <v>982</v>
      </c>
      <c r="F204" s="861">
        <f>SUM(F205:F214)</f>
        <v>110825</v>
      </c>
      <c r="G204" s="861">
        <f>SUM(G205:G214)</f>
        <v>110825</v>
      </c>
      <c r="H204" s="861">
        <f>SUM(H205:H214)</f>
        <v>0</v>
      </c>
      <c r="I204" s="861">
        <f>SUM(I205:I214)</f>
        <v>0</v>
      </c>
      <c r="J204" s="862">
        <f>SUM(J205:J214)</f>
        <v>0</v>
      </c>
      <c r="K204" s="849"/>
      <c r="L204" s="849"/>
      <c r="M204" s="849"/>
      <c r="N204" s="849"/>
      <c r="O204" s="849"/>
      <c r="P204" s="849"/>
      <c r="Q204" s="849"/>
      <c r="R204" s="849"/>
      <c r="S204" s="849"/>
      <c r="T204" s="849"/>
      <c r="U204" s="849"/>
      <c r="V204" s="849"/>
      <c r="W204" s="849"/>
      <c r="X204" s="849"/>
      <c r="Y204" s="849"/>
      <c r="Z204" s="849"/>
      <c r="AA204" s="849"/>
      <c r="AB204" s="849"/>
      <c r="AC204" s="849"/>
      <c r="AD204" s="849"/>
      <c r="AE204" s="849"/>
      <c r="AF204" s="849"/>
      <c r="AG204" s="849"/>
      <c r="AH204" s="849"/>
      <c r="AI204" s="849"/>
      <c r="AJ204" s="849"/>
      <c r="AK204" s="849"/>
      <c r="AL204" s="849"/>
      <c r="AM204" s="849"/>
      <c r="AN204" s="849"/>
      <c r="AO204" s="849"/>
      <c r="AP204" s="849"/>
      <c r="AQ204" s="849"/>
      <c r="AR204" s="849"/>
      <c r="AS204" s="849"/>
      <c r="AT204" s="849"/>
      <c r="AU204" s="849"/>
      <c r="AV204" s="849"/>
      <c r="AW204" s="849"/>
      <c r="AX204" s="849"/>
      <c r="AY204" s="849"/>
      <c r="AZ204" s="849"/>
      <c r="BA204" s="849"/>
      <c r="BB204" s="849"/>
      <c r="BC204" s="849"/>
      <c r="BD204" s="849"/>
      <c r="BE204" s="849"/>
      <c r="BF204" s="849"/>
      <c r="BG204" s="849"/>
      <c r="BH204" s="849"/>
      <c r="BI204" s="849"/>
      <c r="BJ204" s="849"/>
      <c r="BK204" s="849"/>
      <c r="BL204" s="849"/>
      <c r="BM204" s="849"/>
      <c r="BN204" s="849"/>
      <c r="BO204" s="849"/>
      <c r="BP204" s="849"/>
      <c r="BQ204" s="849"/>
      <c r="BR204" s="849"/>
      <c r="BS204" s="849"/>
      <c r="BT204" s="849"/>
      <c r="BU204" s="849"/>
      <c r="BV204" s="849"/>
      <c r="BW204" s="849"/>
      <c r="BX204" s="849"/>
      <c r="BY204" s="849"/>
      <c r="BZ204" s="849"/>
      <c r="CA204" s="849"/>
      <c r="CB204" s="849"/>
      <c r="CC204" s="849"/>
      <c r="CD204" s="849"/>
      <c r="CE204" s="849"/>
      <c r="CF204" s="849"/>
      <c r="CG204" s="849"/>
      <c r="CH204" s="849"/>
      <c r="CI204" s="849"/>
      <c r="CJ204" s="849"/>
      <c r="CK204" s="849"/>
      <c r="CL204" s="849"/>
      <c r="CM204" s="849"/>
      <c r="CN204" s="849"/>
      <c r="CO204" s="849"/>
      <c r="CP204" s="849"/>
      <c r="CQ204" s="849"/>
      <c r="CR204" s="849"/>
      <c r="CS204" s="849"/>
      <c r="CT204" s="849"/>
      <c r="CU204" s="849"/>
      <c r="CV204" s="849"/>
      <c r="CW204" s="849"/>
      <c r="CX204" s="849"/>
      <c r="CY204" s="849"/>
      <c r="CZ204" s="849"/>
      <c r="DA204" s="849"/>
      <c r="DB204" s="849"/>
      <c r="DC204" s="849"/>
      <c r="DD204" s="849"/>
      <c r="DE204" s="849"/>
      <c r="DF204" s="849"/>
      <c r="DG204" s="849"/>
      <c r="DH204" s="849"/>
      <c r="DI204" s="849"/>
      <c r="DJ204" s="849"/>
      <c r="DK204" s="849"/>
      <c r="DL204" s="849"/>
      <c r="DM204" s="849"/>
      <c r="DN204" s="849"/>
      <c r="DO204" s="849"/>
      <c r="DP204" s="849"/>
      <c r="DQ204" s="849"/>
      <c r="DR204" s="849"/>
      <c r="DS204" s="849"/>
      <c r="DT204" s="849"/>
      <c r="DU204" s="849"/>
      <c r="DV204" s="849"/>
      <c r="DW204" s="849"/>
      <c r="DX204" s="849"/>
      <c r="DY204" s="849"/>
      <c r="DZ204" s="849"/>
      <c r="EA204" s="849"/>
      <c r="EB204" s="849"/>
      <c r="EC204" s="849"/>
      <c r="ED204" s="849"/>
      <c r="EE204" s="849"/>
      <c r="EF204" s="849"/>
      <c r="EG204" s="849"/>
      <c r="EH204" s="849"/>
      <c r="EI204" s="849"/>
      <c r="EJ204" s="849"/>
      <c r="EK204" s="849"/>
      <c r="EL204" s="849"/>
      <c r="EM204" s="849"/>
      <c r="EN204" s="849"/>
      <c r="EO204" s="849"/>
      <c r="EP204" s="849"/>
      <c r="EQ204" s="849"/>
      <c r="ER204" s="849"/>
      <c r="ES204" s="849"/>
      <c r="ET204" s="849"/>
      <c r="EU204" s="849"/>
      <c r="EV204" s="849"/>
      <c r="EW204" s="849"/>
      <c r="EX204" s="849"/>
      <c r="EY204" s="849"/>
      <c r="EZ204" s="849"/>
      <c r="FA204" s="849"/>
      <c r="FB204" s="849"/>
      <c r="FC204" s="849"/>
      <c r="FD204" s="849"/>
      <c r="FE204" s="849"/>
      <c r="FF204" s="849"/>
      <c r="FG204" s="849"/>
      <c r="FH204" s="849"/>
      <c r="FI204" s="849"/>
      <c r="FJ204" s="849"/>
      <c r="FK204" s="849"/>
      <c r="FL204" s="849"/>
      <c r="FM204" s="849"/>
      <c r="FN204" s="849"/>
      <c r="FO204" s="849"/>
      <c r="FP204" s="849"/>
      <c r="FQ204" s="849"/>
      <c r="FR204" s="849"/>
      <c r="FS204" s="849"/>
      <c r="FT204" s="849"/>
      <c r="FU204" s="849"/>
      <c r="FV204" s="849"/>
      <c r="FW204" s="849"/>
      <c r="FX204" s="849"/>
      <c r="FY204" s="849"/>
      <c r="FZ204" s="849"/>
      <c r="GA204" s="849"/>
      <c r="GB204" s="849"/>
      <c r="GC204" s="849"/>
      <c r="GD204" s="849"/>
      <c r="GE204" s="849"/>
      <c r="GF204" s="849"/>
      <c r="GG204" s="849"/>
      <c r="GH204" s="849"/>
      <c r="GI204" s="849"/>
      <c r="GJ204" s="849"/>
      <c r="GK204" s="849"/>
      <c r="GL204" s="849"/>
      <c r="GM204" s="849"/>
      <c r="GN204" s="849"/>
      <c r="GO204" s="849"/>
      <c r="GP204" s="849"/>
      <c r="GQ204" s="849"/>
      <c r="GR204" s="849"/>
      <c r="GS204" s="849"/>
      <c r="GT204" s="849"/>
      <c r="GU204" s="849"/>
      <c r="GV204" s="849"/>
      <c r="GW204" s="849"/>
      <c r="GX204" s="849"/>
      <c r="GY204" s="849"/>
      <c r="GZ204" s="849"/>
      <c r="HA204" s="849"/>
      <c r="HB204" s="849"/>
      <c r="HC204" s="849"/>
      <c r="HD204" s="849"/>
      <c r="HE204" s="849"/>
      <c r="HF204" s="849"/>
      <c r="HG204" s="849"/>
      <c r="HH204" s="849"/>
      <c r="HI204" s="849"/>
      <c r="HJ204" s="849"/>
      <c r="HK204" s="849"/>
      <c r="HL204" s="849"/>
      <c r="HM204" s="849"/>
      <c r="HN204" s="849"/>
      <c r="HO204" s="849"/>
      <c r="HP204" s="849"/>
      <c r="HQ204" s="849"/>
      <c r="HR204" s="849"/>
    </row>
    <row r="205" spans="1:226" s="850" customFormat="1" ht="15" hidden="1" customHeight="1">
      <c r="A205" s="1500"/>
      <c r="B205" s="1501"/>
      <c r="C205" s="1495"/>
      <c r="D205" s="1502"/>
      <c r="E205" s="855" t="s">
        <v>672</v>
      </c>
      <c r="F205" s="856">
        <f>SUM(G205:J205)</f>
        <v>0</v>
      </c>
      <c r="G205" s="856"/>
      <c r="H205" s="856"/>
      <c r="I205" s="856"/>
      <c r="J205" s="857"/>
      <c r="K205" s="849"/>
    </row>
    <row r="206" spans="1:226" s="850" customFormat="1" ht="15" customHeight="1">
      <c r="A206" s="1500"/>
      <c r="B206" s="1501"/>
      <c r="C206" s="1495"/>
      <c r="D206" s="1502"/>
      <c r="E206" s="855" t="s">
        <v>673</v>
      </c>
      <c r="F206" s="856">
        <f t="shared" ref="F206:F213" si="13">SUM(G206:J206)</f>
        <v>110000</v>
      </c>
      <c r="G206" s="856">
        <v>110000</v>
      </c>
      <c r="H206" s="856"/>
      <c r="I206" s="856"/>
      <c r="J206" s="857"/>
      <c r="K206" s="849"/>
    </row>
    <row r="207" spans="1:226" s="850" customFormat="1" ht="15" hidden="1" customHeight="1">
      <c r="A207" s="1500"/>
      <c r="B207" s="1501"/>
      <c r="C207" s="1495"/>
      <c r="D207" s="1502"/>
      <c r="E207" s="855" t="s">
        <v>369</v>
      </c>
      <c r="F207" s="856">
        <f t="shared" si="13"/>
        <v>0</v>
      </c>
      <c r="G207" s="856"/>
      <c r="H207" s="856"/>
      <c r="I207" s="856"/>
      <c r="J207" s="857"/>
      <c r="K207" s="849"/>
    </row>
    <row r="208" spans="1:226" s="850" customFormat="1" ht="15" customHeight="1">
      <c r="A208" s="1500"/>
      <c r="B208" s="1501"/>
      <c r="C208" s="1495"/>
      <c r="D208" s="1502"/>
      <c r="E208" s="855" t="s">
        <v>228</v>
      </c>
      <c r="F208" s="856">
        <f t="shared" si="13"/>
        <v>495</v>
      </c>
      <c r="G208" s="856">
        <v>495</v>
      </c>
      <c r="H208" s="856"/>
      <c r="I208" s="856"/>
      <c r="J208" s="857"/>
      <c r="K208" s="849"/>
    </row>
    <row r="209" spans="1:11" s="850" customFormat="1" ht="15" hidden="1" customHeight="1">
      <c r="A209" s="1500"/>
      <c r="B209" s="1501"/>
      <c r="C209" s="1495"/>
      <c r="D209" s="1502"/>
      <c r="E209" s="855" t="s">
        <v>429</v>
      </c>
      <c r="F209" s="856">
        <f t="shared" si="13"/>
        <v>0</v>
      </c>
      <c r="G209" s="856"/>
      <c r="H209" s="856"/>
      <c r="I209" s="856"/>
      <c r="J209" s="857"/>
      <c r="K209" s="849"/>
    </row>
    <row r="210" spans="1:11" s="850" customFormat="1" ht="15" customHeight="1">
      <c r="A210" s="1500"/>
      <c r="B210" s="1501"/>
      <c r="C210" s="1495"/>
      <c r="D210" s="1502"/>
      <c r="E210" s="855" t="s">
        <v>399</v>
      </c>
      <c r="F210" s="856">
        <f t="shared" si="13"/>
        <v>165</v>
      </c>
      <c r="G210" s="856">
        <v>165</v>
      </c>
      <c r="H210" s="856"/>
      <c r="I210" s="856"/>
      <c r="J210" s="857"/>
      <c r="K210" s="849"/>
    </row>
    <row r="211" spans="1:11" s="850" customFormat="1" ht="15" hidden="1" customHeight="1">
      <c r="A211" s="1500"/>
      <c r="B211" s="1501"/>
      <c r="C211" s="1495"/>
      <c r="D211" s="1502"/>
      <c r="E211" s="855" t="s">
        <v>338</v>
      </c>
      <c r="F211" s="856">
        <f t="shared" si="13"/>
        <v>0</v>
      </c>
      <c r="G211" s="856"/>
      <c r="H211" s="856"/>
      <c r="I211" s="856"/>
      <c r="J211" s="857"/>
      <c r="K211" s="849"/>
    </row>
    <row r="212" spans="1:11" s="850" customFormat="1" ht="15" customHeight="1">
      <c r="A212" s="1500"/>
      <c r="B212" s="1501"/>
      <c r="C212" s="1495"/>
      <c r="D212" s="1502"/>
      <c r="E212" s="855" t="s">
        <v>232</v>
      </c>
      <c r="F212" s="856">
        <f t="shared" si="13"/>
        <v>83</v>
      </c>
      <c r="G212" s="856">
        <v>83</v>
      </c>
      <c r="H212" s="856"/>
      <c r="I212" s="856"/>
      <c r="J212" s="857"/>
      <c r="K212" s="849"/>
    </row>
    <row r="213" spans="1:11" s="850" customFormat="1" ht="15" hidden="1" customHeight="1">
      <c r="A213" s="1500"/>
      <c r="B213" s="1501"/>
      <c r="C213" s="1495"/>
      <c r="D213" s="1502"/>
      <c r="E213" s="855" t="s">
        <v>532</v>
      </c>
      <c r="F213" s="856">
        <f t="shared" si="13"/>
        <v>0</v>
      </c>
      <c r="G213" s="856"/>
      <c r="H213" s="856"/>
      <c r="I213" s="856"/>
      <c r="J213" s="857"/>
      <c r="K213" s="849"/>
    </row>
    <row r="214" spans="1:11" s="850" customFormat="1" ht="15" customHeight="1">
      <c r="A214" s="1500"/>
      <c r="B214" s="1501"/>
      <c r="C214" s="1495"/>
      <c r="D214" s="1502"/>
      <c r="E214" s="855" t="s">
        <v>271</v>
      </c>
      <c r="F214" s="856">
        <f>SUM(G214:J214)</f>
        <v>82</v>
      </c>
      <c r="G214" s="856">
        <v>82</v>
      </c>
      <c r="H214" s="856"/>
      <c r="I214" s="856"/>
      <c r="J214" s="857"/>
      <c r="K214" s="849"/>
    </row>
    <row r="215" spans="1:11" s="850" customFormat="1" ht="24.95" customHeight="1">
      <c r="A215" s="1500"/>
      <c r="B215" s="1501"/>
      <c r="C215" s="1495"/>
      <c r="D215" s="1502"/>
      <c r="E215" s="858" t="s">
        <v>977</v>
      </c>
      <c r="F215" s="852">
        <f>SUM(F216:F218)</f>
        <v>0</v>
      </c>
      <c r="G215" s="852">
        <f>SUM(G216:G218)</f>
        <v>0</v>
      </c>
      <c r="H215" s="852">
        <f>SUM(H216:H218)</f>
        <v>0</v>
      </c>
      <c r="I215" s="852">
        <f>SUM(I216:I218)</f>
        <v>0</v>
      </c>
      <c r="J215" s="853">
        <f>SUM(J216:J218)</f>
        <v>0</v>
      </c>
      <c r="K215" s="849"/>
    </row>
    <row r="216" spans="1:11" s="850" customFormat="1" ht="15" hidden="1" customHeight="1">
      <c r="A216" s="1500"/>
      <c r="B216" s="1501"/>
      <c r="C216" s="1495"/>
      <c r="D216" s="1502"/>
      <c r="E216" s="855"/>
      <c r="F216" s="856">
        <f>SUM(G216:J216)</f>
        <v>0</v>
      </c>
      <c r="G216" s="856"/>
      <c r="H216" s="856"/>
      <c r="I216" s="856"/>
      <c r="J216" s="857"/>
      <c r="K216" s="849"/>
    </row>
    <row r="217" spans="1:11" s="850" customFormat="1" ht="15" hidden="1" customHeight="1">
      <c r="A217" s="1500"/>
      <c r="B217" s="1501"/>
      <c r="C217" s="1495"/>
      <c r="D217" s="1502"/>
      <c r="E217" s="855"/>
      <c r="F217" s="856"/>
      <c r="G217" s="856"/>
      <c r="H217" s="856"/>
      <c r="I217" s="856"/>
      <c r="J217" s="857"/>
      <c r="K217" s="849"/>
    </row>
    <row r="218" spans="1:11" s="850" customFormat="1" ht="15" hidden="1" customHeight="1">
      <c r="A218" s="1500"/>
      <c r="B218" s="1501"/>
      <c r="C218" s="1495"/>
      <c r="D218" s="1502"/>
      <c r="E218" s="897"/>
      <c r="F218" s="856">
        <f>SUM(G218:J218)</f>
        <v>0</v>
      </c>
      <c r="G218" s="856"/>
      <c r="H218" s="856"/>
      <c r="I218" s="856"/>
      <c r="J218" s="857"/>
      <c r="K218" s="849"/>
    </row>
    <row r="219" spans="1:11" s="850" customFormat="1" ht="24.95" customHeight="1">
      <c r="A219" s="1503" t="s">
        <v>1016</v>
      </c>
      <c r="B219" s="1506" t="s">
        <v>1017</v>
      </c>
      <c r="C219" s="1516">
        <v>854</v>
      </c>
      <c r="D219" s="1542" t="s">
        <v>670</v>
      </c>
      <c r="E219" s="846" t="s">
        <v>976</v>
      </c>
      <c r="F219" s="847">
        <f>SUM(F220,F239)</f>
        <v>154000</v>
      </c>
      <c r="G219" s="847">
        <f>SUM(G220,G239)</f>
        <v>154000</v>
      </c>
      <c r="H219" s="847">
        <f>SUM(H220,H239)</f>
        <v>0</v>
      </c>
      <c r="I219" s="847">
        <f>SUM(I220,I239)</f>
        <v>0</v>
      </c>
      <c r="J219" s="848">
        <f>SUM(J220,J239)</f>
        <v>0</v>
      </c>
      <c r="K219" s="849"/>
    </row>
    <row r="220" spans="1:11" s="850" customFormat="1" ht="24.95" customHeight="1">
      <c r="A220" s="1504"/>
      <c r="B220" s="1507"/>
      <c r="C220" s="1541"/>
      <c r="D220" s="1543"/>
      <c r="E220" s="851" t="s">
        <v>990</v>
      </c>
      <c r="F220" s="852">
        <f>SUM(F221,F228)</f>
        <v>154000</v>
      </c>
      <c r="G220" s="852">
        <f>SUM(G221,G228)</f>
        <v>154000</v>
      </c>
      <c r="H220" s="852">
        <f>SUM(H221,H228)</f>
        <v>0</v>
      </c>
      <c r="I220" s="852">
        <f>SUM(I221,I228)</f>
        <v>0</v>
      </c>
      <c r="J220" s="853">
        <f>SUM(J221,J228)</f>
        <v>0</v>
      </c>
      <c r="K220" s="849"/>
    </row>
    <row r="221" spans="1:11" s="850" customFormat="1" ht="24.95" customHeight="1">
      <c r="A221" s="1504"/>
      <c r="B221" s="1507"/>
      <c r="C221" s="1541"/>
      <c r="D221" s="1543"/>
      <c r="E221" s="860" t="s">
        <v>981</v>
      </c>
      <c r="F221" s="861">
        <f>SUM(F222:F227)</f>
        <v>12600</v>
      </c>
      <c r="G221" s="861">
        <f>SUM(G222:G227)</f>
        <v>12600</v>
      </c>
      <c r="H221" s="861">
        <f>SUM(H222:H227)</f>
        <v>0</v>
      </c>
      <c r="I221" s="861">
        <f>SUM(I222:I227)</f>
        <v>0</v>
      </c>
      <c r="J221" s="862">
        <f>SUM(J222:J227)</f>
        <v>0</v>
      </c>
      <c r="K221" s="849"/>
    </row>
    <row r="222" spans="1:11" s="850" customFormat="1" ht="15" hidden="1" customHeight="1">
      <c r="A222" s="1504"/>
      <c r="B222" s="1507"/>
      <c r="C222" s="1541"/>
      <c r="D222" s="1543"/>
      <c r="E222" s="855" t="s">
        <v>335</v>
      </c>
      <c r="F222" s="856">
        <f>SUM(G222:J222)</f>
        <v>0</v>
      </c>
      <c r="G222" s="856"/>
      <c r="H222" s="856"/>
      <c r="I222" s="856"/>
      <c r="J222" s="857"/>
      <c r="K222" s="849"/>
    </row>
    <row r="223" spans="1:11" s="850" customFormat="1" ht="15" customHeight="1">
      <c r="A223" s="1504"/>
      <c r="B223" s="1507"/>
      <c r="C223" s="1541"/>
      <c r="D223" s="1543"/>
      <c r="E223" s="855" t="s">
        <v>215</v>
      </c>
      <c r="F223" s="856">
        <f t="shared" ref="F223:F225" si="14">SUM(G223:J223)</f>
        <v>10532</v>
      </c>
      <c r="G223" s="856">
        <v>10532</v>
      </c>
      <c r="H223" s="856"/>
      <c r="I223" s="856"/>
      <c r="J223" s="857"/>
      <c r="K223" s="849"/>
    </row>
    <row r="224" spans="1:11" s="850" customFormat="1" ht="15" hidden="1" customHeight="1">
      <c r="A224" s="1504"/>
      <c r="B224" s="1507"/>
      <c r="C224" s="1541"/>
      <c r="D224" s="1543"/>
      <c r="E224" s="855" t="s">
        <v>336</v>
      </c>
      <c r="F224" s="856">
        <f t="shared" si="14"/>
        <v>0</v>
      </c>
      <c r="G224" s="856"/>
      <c r="H224" s="856"/>
      <c r="I224" s="856"/>
      <c r="J224" s="857"/>
      <c r="K224" s="849"/>
    </row>
    <row r="225" spans="1:226" s="850" customFormat="1" ht="15" customHeight="1">
      <c r="A225" s="1504"/>
      <c r="B225" s="1507"/>
      <c r="C225" s="1541"/>
      <c r="D225" s="1543"/>
      <c r="E225" s="855" t="s">
        <v>219</v>
      </c>
      <c r="F225" s="856">
        <f t="shared" si="14"/>
        <v>1810</v>
      </c>
      <c r="G225" s="856">
        <v>1810</v>
      </c>
      <c r="H225" s="856"/>
      <c r="I225" s="856"/>
      <c r="J225" s="857"/>
      <c r="K225" s="849"/>
    </row>
    <row r="226" spans="1:226" s="850" customFormat="1" ht="15" hidden="1" customHeight="1">
      <c r="A226" s="1504"/>
      <c r="B226" s="1507"/>
      <c r="C226" s="1541"/>
      <c r="D226" s="1543"/>
      <c r="E226" s="855" t="s">
        <v>337</v>
      </c>
      <c r="F226" s="856">
        <f>SUM(G226:J226)</f>
        <v>0</v>
      </c>
      <c r="G226" s="856"/>
      <c r="H226" s="856"/>
      <c r="I226" s="856"/>
      <c r="J226" s="857"/>
      <c r="K226" s="849"/>
    </row>
    <row r="227" spans="1:226" s="850" customFormat="1" ht="15" customHeight="1">
      <c r="A227" s="1504"/>
      <c r="B227" s="1507"/>
      <c r="C227" s="1541"/>
      <c r="D227" s="1543"/>
      <c r="E227" s="855" t="s">
        <v>221</v>
      </c>
      <c r="F227" s="856">
        <f>SUM(G227:J227)</f>
        <v>258</v>
      </c>
      <c r="G227" s="856">
        <v>258</v>
      </c>
      <c r="H227" s="856"/>
      <c r="I227" s="856"/>
      <c r="J227" s="857"/>
      <c r="K227" s="849"/>
    </row>
    <row r="228" spans="1:226" s="850" customFormat="1" ht="24.95" customHeight="1">
      <c r="A228" s="1504"/>
      <c r="B228" s="1507"/>
      <c r="C228" s="1541"/>
      <c r="D228" s="1543"/>
      <c r="E228" s="860" t="s">
        <v>982</v>
      </c>
      <c r="F228" s="861">
        <f>SUM(F229:F238)</f>
        <v>141400</v>
      </c>
      <c r="G228" s="861">
        <f>SUM(G229:G238)</f>
        <v>141400</v>
      </c>
      <c r="H228" s="861">
        <f>SUM(H229:H238)</f>
        <v>0</v>
      </c>
      <c r="I228" s="861">
        <f>SUM(I229:I238)</f>
        <v>0</v>
      </c>
      <c r="J228" s="862">
        <f>SUM(J229:J238)</f>
        <v>0</v>
      </c>
      <c r="K228" s="849"/>
      <c r="L228" s="849"/>
      <c r="M228" s="849"/>
      <c r="N228" s="849"/>
      <c r="O228" s="849"/>
      <c r="P228" s="849"/>
      <c r="Q228" s="849"/>
      <c r="R228" s="849"/>
      <c r="S228" s="849"/>
      <c r="T228" s="849"/>
      <c r="U228" s="849"/>
      <c r="V228" s="849"/>
      <c r="W228" s="849"/>
      <c r="X228" s="849"/>
      <c r="Y228" s="849"/>
      <c r="Z228" s="849"/>
      <c r="AA228" s="849"/>
      <c r="AB228" s="849"/>
      <c r="AC228" s="849"/>
      <c r="AD228" s="849"/>
      <c r="AE228" s="849"/>
      <c r="AF228" s="849"/>
      <c r="AG228" s="849"/>
      <c r="AH228" s="849"/>
      <c r="AI228" s="849"/>
      <c r="AJ228" s="849"/>
      <c r="AK228" s="849"/>
      <c r="AL228" s="849"/>
      <c r="AM228" s="849"/>
      <c r="AN228" s="849"/>
      <c r="AO228" s="849"/>
      <c r="AP228" s="849"/>
      <c r="AQ228" s="849"/>
      <c r="AR228" s="849"/>
      <c r="AS228" s="849"/>
      <c r="AT228" s="849"/>
      <c r="AU228" s="849"/>
      <c r="AV228" s="849"/>
      <c r="AW228" s="849"/>
      <c r="AX228" s="849"/>
      <c r="AY228" s="849"/>
      <c r="AZ228" s="849"/>
      <c r="BA228" s="849"/>
      <c r="BB228" s="849"/>
      <c r="BC228" s="849"/>
      <c r="BD228" s="849"/>
      <c r="BE228" s="849"/>
      <c r="BF228" s="849"/>
      <c r="BG228" s="849"/>
      <c r="BH228" s="849"/>
      <c r="BI228" s="849"/>
      <c r="BJ228" s="849"/>
      <c r="BK228" s="849"/>
      <c r="BL228" s="849"/>
      <c r="BM228" s="849"/>
      <c r="BN228" s="849"/>
      <c r="BO228" s="849"/>
      <c r="BP228" s="849"/>
      <c r="BQ228" s="849"/>
      <c r="BR228" s="849"/>
      <c r="BS228" s="849"/>
      <c r="BT228" s="849"/>
      <c r="BU228" s="849"/>
      <c r="BV228" s="849"/>
      <c r="BW228" s="849"/>
      <c r="BX228" s="849"/>
      <c r="BY228" s="849"/>
      <c r="BZ228" s="849"/>
      <c r="CA228" s="849"/>
      <c r="CB228" s="849"/>
      <c r="CC228" s="849"/>
      <c r="CD228" s="849"/>
      <c r="CE228" s="849"/>
      <c r="CF228" s="849"/>
      <c r="CG228" s="849"/>
      <c r="CH228" s="849"/>
      <c r="CI228" s="849"/>
      <c r="CJ228" s="849"/>
      <c r="CK228" s="849"/>
      <c r="CL228" s="849"/>
      <c r="CM228" s="849"/>
      <c r="CN228" s="849"/>
      <c r="CO228" s="849"/>
      <c r="CP228" s="849"/>
      <c r="CQ228" s="849"/>
      <c r="CR228" s="849"/>
      <c r="CS228" s="849"/>
      <c r="CT228" s="849"/>
      <c r="CU228" s="849"/>
      <c r="CV228" s="849"/>
      <c r="CW228" s="849"/>
      <c r="CX228" s="849"/>
      <c r="CY228" s="849"/>
      <c r="CZ228" s="849"/>
      <c r="DA228" s="849"/>
      <c r="DB228" s="849"/>
      <c r="DC228" s="849"/>
      <c r="DD228" s="849"/>
      <c r="DE228" s="849"/>
      <c r="DF228" s="849"/>
      <c r="DG228" s="849"/>
      <c r="DH228" s="849"/>
      <c r="DI228" s="849"/>
      <c r="DJ228" s="849"/>
      <c r="DK228" s="849"/>
      <c r="DL228" s="849"/>
      <c r="DM228" s="849"/>
      <c r="DN228" s="849"/>
      <c r="DO228" s="849"/>
      <c r="DP228" s="849"/>
      <c r="DQ228" s="849"/>
      <c r="DR228" s="849"/>
      <c r="DS228" s="849"/>
      <c r="DT228" s="849"/>
      <c r="DU228" s="849"/>
      <c r="DV228" s="849"/>
      <c r="DW228" s="849"/>
      <c r="DX228" s="849"/>
      <c r="DY228" s="849"/>
      <c r="DZ228" s="849"/>
      <c r="EA228" s="849"/>
      <c r="EB228" s="849"/>
      <c r="EC228" s="849"/>
      <c r="ED228" s="849"/>
      <c r="EE228" s="849"/>
      <c r="EF228" s="849"/>
      <c r="EG228" s="849"/>
      <c r="EH228" s="849"/>
      <c r="EI228" s="849"/>
      <c r="EJ228" s="849"/>
      <c r="EK228" s="849"/>
      <c r="EL228" s="849"/>
      <c r="EM228" s="849"/>
      <c r="EN228" s="849"/>
      <c r="EO228" s="849"/>
      <c r="EP228" s="849"/>
      <c r="EQ228" s="849"/>
      <c r="ER228" s="849"/>
      <c r="ES228" s="849"/>
      <c r="ET228" s="849"/>
      <c r="EU228" s="849"/>
      <c r="EV228" s="849"/>
      <c r="EW228" s="849"/>
      <c r="EX228" s="849"/>
      <c r="EY228" s="849"/>
      <c r="EZ228" s="849"/>
      <c r="FA228" s="849"/>
      <c r="FB228" s="849"/>
      <c r="FC228" s="849"/>
      <c r="FD228" s="849"/>
      <c r="FE228" s="849"/>
      <c r="FF228" s="849"/>
      <c r="FG228" s="849"/>
      <c r="FH228" s="849"/>
      <c r="FI228" s="849"/>
      <c r="FJ228" s="849"/>
      <c r="FK228" s="849"/>
      <c r="FL228" s="849"/>
      <c r="FM228" s="849"/>
      <c r="FN228" s="849"/>
      <c r="FO228" s="849"/>
      <c r="FP228" s="849"/>
      <c r="FQ228" s="849"/>
      <c r="FR228" s="849"/>
      <c r="FS228" s="849"/>
      <c r="FT228" s="849"/>
      <c r="FU228" s="849"/>
      <c r="FV228" s="849"/>
      <c r="FW228" s="849"/>
      <c r="FX228" s="849"/>
      <c r="FY228" s="849"/>
      <c r="FZ228" s="849"/>
      <c r="GA228" s="849"/>
      <c r="GB228" s="849"/>
      <c r="GC228" s="849"/>
      <c r="GD228" s="849"/>
      <c r="GE228" s="849"/>
      <c r="GF228" s="849"/>
      <c r="GG228" s="849"/>
      <c r="GH228" s="849"/>
      <c r="GI228" s="849"/>
      <c r="GJ228" s="849"/>
      <c r="GK228" s="849"/>
      <c r="GL228" s="849"/>
      <c r="GM228" s="849"/>
      <c r="GN228" s="849"/>
      <c r="GO228" s="849"/>
      <c r="GP228" s="849"/>
      <c r="GQ228" s="849"/>
      <c r="GR228" s="849"/>
      <c r="GS228" s="849"/>
      <c r="GT228" s="849"/>
      <c r="GU228" s="849"/>
      <c r="GV228" s="849"/>
      <c r="GW228" s="849"/>
      <c r="GX228" s="849"/>
      <c r="GY228" s="849"/>
      <c r="GZ228" s="849"/>
      <c r="HA228" s="849"/>
      <c r="HB228" s="849"/>
      <c r="HC228" s="849"/>
      <c r="HD228" s="849"/>
      <c r="HE228" s="849"/>
      <c r="HF228" s="849"/>
      <c r="HG228" s="849"/>
      <c r="HH228" s="849"/>
      <c r="HI228" s="849"/>
      <c r="HJ228" s="849"/>
      <c r="HK228" s="849"/>
      <c r="HL228" s="849"/>
      <c r="HM228" s="849"/>
      <c r="HN228" s="849"/>
      <c r="HO228" s="849"/>
      <c r="HP228" s="849"/>
      <c r="HQ228" s="849"/>
      <c r="HR228" s="849"/>
    </row>
    <row r="229" spans="1:226" s="850" customFormat="1" ht="15" hidden="1" customHeight="1">
      <c r="A229" s="1504"/>
      <c r="B229" s="1507"/>
      <c r="C229" s="1541"/>
      <c r="D229" s="1543"/>
      <c r="E229" s="855" t="s">
        <v>672</v>
      </c>
      <c r="F229" s="856">
        <f>SUM(G229:J229)</f>
        <v>0</v>
      </c>
      <c r="G229" s="856"/>
      <c r="H229" s="856"/>
      <c r="I229" s="856"/>
      <c r="J229" s="857"/>
      <c r="K229" s="849"/>
    </row>
    <row r="230" spans="1:226" s="850" customFormat="1" ht="15" customHeight="1">
      <c r="A230" s="1504"/>
      <c r="B230" s="1507"/>
      <c r="C230" s="1541"/>
      <c r="D230" s="1543"/>
      <c r="E230" s="855" t="s">
        <v>673</v>
      </c>
      <c r="F230" s="856">
        <f t="shared" ref="F230:F237" si="15">SUM(G230:J230)</f>
        <v>140000</v>
      </c>
      <c r="G230" s="856">
        <v>140000</v>
      </c>
      <c r="H230" s="856"/>
      <c r="I230" s="856"/>
      <c r="J230" s="857"/>
      <c r="K230" s="849"/>
    </row>
    <row r="231" spans="1:226" s="850" customFormat="1" ht="15" hidden="1" customHeight="1">
      <c r="A231" s="1504"/>
      <c r="B231" s="1507"/>
      <c r="C231" s="1541"/>
      <c r="D231" s="1543"/>
      <c r="E231" s="855" t="s">
        <v>369</v>
      </c>
      <c r="F231" s="856">
        <f t="shared" si="15"/>
        <v>0</v>
      </c>
      <c r="G231" s="856"/>
      <c r="H231" s="856"/>
      <c r="I231" s="856"/>
      <c r="J231" s="857"/>
      <c r="K231" s="849"/>
    </row>
    <row r="232" spans="1:226" s="850" customFormat="1" ht="15" customHeight="1">
      <c r="A232" s="1504"/>
      <c r="B232" s="1507"/>
      <c r="C232" s="1541"/>
      <c r="D232" s="1543"/>
      <c r="E232" s="855" t="s">
        <v>228</v>
      </c>
      <c r="F232" s="856">
        <f t="shared" si="15"/>
        <v>840</v>
      </c>
      <c r="G232" s="856">
        <v>840</v>
      </c>
      <c r="H232" s="856"/>
      <c r="I232" s="856"/>
      <c r="J232" s="857"/>
      <c r="K232" s="849"/>
    </row>
    <row r="233" spans="1:226" s="850" customFormat="1" ht="15" hidden="1" customHeight="1">
      <c r="A233" s="1504"/>
      <c r="B233" s="1507"/>
      <c r="C233" s="1541"/>
      <c r="D233" s="1543"/>
      <c r="E233" s="855" t="s">
        <v>429</v>
      </c>
      <c r="F233" s="856">
        <f t="shared" si="15"/>
        <v>0</v>
      </c>
      <c r="G233" s="856"/>
      <c r="H233" s="856"/>
      <c r="I233" s="856"/>
      <c r="J233" s="857"/>
      <c r="K233" s="849"/>
    </row>
    <row r="234" spans="1:226" s="850" customFormat="1" ht="15" customHeight="1">
      <c r="A234" s="1504"/>
      <c r="B234" s="1507"/>
      <c r="C234" s="1541"/>
      <c r="D234" s="1543"/>
      <c r="E234" s="855" t="s">
        <v>399</v>
      </c>
      <c r="F234" s="856">
        <f t="shared" si="15"/>
        <v>280</v>
      </c>
      <c r="G234" s="856">
        <v>280</v>
      </c>
      <c r="H234" s="856"/>
      <c r="I234" s="856"/>
      <c r="J234" s="857"/>
      <c r="K234" s="849"/>
    </row>
    <row r="235" spans="1:226" s="850" customFormat="1" ht="15" hidden="1" customHeight="1">
      <c r="A235" s="1504"/>
      <c r="B235" s="1507"/>
      <c r="C235" s="1541"/>
      <c r="D235" s="1543"/>
      <c r="E235" s="855" t="s">
        <v>338</v>
      </c>
      <c r="F235" s="856">
        <f t="shared" si="15"/>
        <v>0</v>
      </c>
      <c r="G235" s="856"/>
      <c r="H235" s="856"/>
      <c r="I235" s="856"/>
      <c r="J235" s="857"/>
      <c r="K235" s="849"/>
    </row>
    <row r="236" spans="1:226" s="850" customFormat="1" ht="15" customHeight="1">
      <c r="A236" s="1504"/>
      <c r="B236" s="1507"/>
      <c r="C236" s="1541"/>
      <c r="D236" s="1543"/>
      <c r="E236" s="855" t="s">
        <v>232</v>
      </c>
      <c r="F236" s="856">
        <f t="shared" si="15"/>
        <v>140</v>
      </c>
      <c r="G236" s="856">
        <v>140</v>
      </c>
      <c r="H236" s="856"/>
      <c r="I236" s="856"/>
      <c r="J236" s="857"/>
      <c r="K236" s="849"/>
    </row>
    <row r="237" spans="1:226" s="850" customFormat="1" ht="15" hidden="1" customHeight="1">
      <c r="A237" s="1504"/>
      <c r="B237" s="1507"/>
      <c r="C237" s="1541"/>
      <c r="D237" s="1543"/>
      <c r="E237" s="855" t="s">
        <v>532</v>
      </c>
      <c r="F237" s="856">
        <f t="shared" si="15"/>
        <v>0</v>
      </c>
      <c r="G237" s="856"/>
      <c r="H237" s="856"/>
      <c r="I237" s="856"/>
      <c r="J237" s="857"/>
      <c r="K237" s="849"/>
    </row>
    <row r="238" spans="1:226" s="850" customFormat="1" ht="15" customHeight="1">
      <c r="A238" s="1504"/>
      <c r="B238" s="1507"/>
      <c r="C238" s="1541"/>
      <c r="D238" s="1543"/>
      <c r="E238" s="855" t="s">
        <v>271</v>
      </c>
      <c r="F238" s="856">
        <f>SUM(G238:J238)</f>
        <v>140</v>
      </c>
      <c r="G238" s="856">
        <v>140</v>
      </c>
      <c r="H238" s="856"/>
      <c r="I238" s="856"/>
      <c r="J238" s="857"/>
      <c r="K238" s="849"/>
    </row>
    <row r="239" spans="1:226" s="850" customFormat="1" ht="24.95" customHeight="1">
      <c r="A239" s="1505"/>
      <c r="B239" s="1508"/>
      <c r="C239" s="1517"/>
      <c r="D239" s="1544"/>
      <c r="E239" s="858" t="s">
        <v>977</v>
      </c>
      <c r="F239" s="852">
        <f>SUM(F240:F242)</f>
        <v>0</v>
      </c>
      <c r="G239" s="852">
        <f>SUM(G240:G242)</f>
        <v>0</v>
      </c>
      <c r="H239" s="852">
        <f>SUM(H240:H242)</f>
        <v>0</v>
      </c>
      <c r="I239" s="852">
        <f>SUM(I240:I242)</f>
        <v>0</v>
      </c>
      <c r="J239" s="853">
        <f>SUM(J240:J242)</f>
        <v>0</v>
      </c>
      <c r="K239" s="849"/>
    </row>
    <row r="240" spans="1:226" s="850" customFormat="1" ht="15" hidden="1" customHeight="1">
      <c r="A240" s="902"/>
      <c r="B240" s="903"/>
      <c r="C240" s="904"/>
      <c r="D240" s="905"/>
      <c r="E240" s="868"/>
      <c r="F240" s="869">
        <f>SUM(G240:J240)</f>
        <v>0</v>
      </c>
      <c r="G240" s="869"/>
      <c r="H240" s="869"/>
      <c r="I240" s="869"/>
      <c r="J240" s="870"/>
      <c r="K240" s="849"/>
    </row>
    <row r="241" spans="1:226" s="850" customFormat="1" ht="15" hidden="1" customHeight="1">
      <c r="A241" s="902"/>
      <c r="B241" s="903"/>
      <c r="C241" s="904"/>
      <c r="D241" s="905"/>
      <c r="E241" s="855"/>
      <c r="F241" s="856">
        <f t="shared" ref="F241:F242" si="16">SUM(G241:J241)</f>
        <v>0</v>
      </c>
      <c r="G241" s="856"/>
      <c r="H241" s="856"/>
      <c r="I241" s="856"/>
      <c r="J241" s="857"/>
      <c r="K241" s="849"/>
    </row>
    <row r="242" spans="1:226" s="850" customFormat="1" ht="15" hidden="1" customHeight="1">
      <c r="A242" s="898"/>
      <c r="B242" s="899"/>
      <c r="C242" s="900"/>
      <c r="D242" s="901"/>
      <c r="E242" s="897"/>
      <c r="F242" s="856">
        <f t="shared" si="16"/>
        <v>0</v>
      </c>
      <c r="G242" s="856"/>
      <c r="H242" s="856"/>
      <c r="I242" s="856"/>
      <c r="J242" s="857"/>
      <c r="K242" s="849"/>
    </row>
    <row r="243" spans="1:226" s="850" customFormat="1" ht="24.95" customHeight="1">
      <c r="A243" s="1503" t="s">
        <v>1018</v>
      </c>
      <c r="B243" s="1506" t="s">
        <v>1019</v>
      </c>
      <c r="C243" s="1542" t="s">
        <v>142</v>
      </c>
      <c r="D243" s="1542" t="s">
        <v>212</v>
      </c>
      <c r="E243" s="846" t="s">
        <v>976</v>
      </c>
      <c r="F243" s="847">
        <f>SUM(F244,F271)</f>
        <v>5080000</v>
      </c>
      <c r="G243" s="847">
        <f>SUM(G244,G271)</f>
        <v>0</v>
      </c>
      <c r="H243" s="847">
        <f>SUM(H244,H271)</f>
        <v>0</v>
      </c>
      <c r="I243" s="847">
        <f>SUM(I244,I271)</f>
        <v>5080000</v>
      </c>
      <c r="J243" s="848">
        <f>SUM(J244,J271)</f>
        <v>0</v>
      </c>
      <c r="K243" s="849"/>
      <c r="L243" s="849"/>
      <c r="M243" s="849"/>
      <c r="N243" s="849"/>
      <c r="O243" s="849"/>
      <c r="P243" s="849"/>
      <c r="Q243" s="849"/>
      <c r="R243" s="849"/>
      <c r="S243" s="849"/>
      <c r="T243" s="849"/>
      <c r="U243" s="849"/>
      <c r="V243" s="849"/>
      <c r="W243" s="849"/>
      <c r="X243" s="849"/>
      <c r="Y243" s="849"/>
      <c r="Z243" s="849"/>
      <c r="AA243" s="849"/>
      <c r="AB243" s="849"/>
      <c r="AC243" s="849"/>
      <c r="AD243" s="849"/>
      <c r="AE243" s="849"/>
      <c r="AF243" s="849"/>
      <c r="AG243" s="849"/>
      <c r="AH243" s="849"/>
      <c r="AI243" s="849"/>
      <c r="AJ243" s="849"/>
      <c r="AK243" s="849"/>
      <c r="AL243" s="849"/>
      <c r="AM243" s="849"/>
      <c r="AN243" s="849"/>
      <c r="AO243" s="849"/>
      <c r="AP243" s="849"/>
      <c r="AQ243" s="849"/>
      <c r="AR243" s="849"/>
      <c r="AS243" s="849"/>
      <c r="AT243" s="849"/>
      <c r="AU243" s="849"/>
      <c r="AV243" s="849"/>
      <c r="AW243" s="849"/>
      <c r="AX243" s="849"/>
      <c r="AY243" s="849"/>
      <c r="AZ243" s="849"/>
      <c r="BA243" s="849"/>
      <c r="BB243" s="849"/>
      <c r="BC243" s="849"/>
      <c r="BD243" s="849"/>
      <c r="BE243" s="849"/>
      <c r="BF243" s="849"/>
      <c r="BG243" s="849"/>
      <c r="BH243" s="849"/>
      <c r="BI243" s="849"/>
      <c r="BJ243" s="849"/>
      <c r="BK243" s="849"/>
      <c r="BL243" s="849"/>
      <c r="BM243" s="849"/>
      <c r="BN243" s="849"/>
      <c r="BO243" s="849"/>
      <c r="BP243" s="849"/>
      <c r="BQ243" s="849"/>
      <c r="BR243" s="849"/>
      <c r="BS243" s="849"/>
      <c r="BT243" s="849"/>
      <c r="BU243" s="849"/>
      <c r="BV243" s="849"/>
      <c r="BW243" s="849"/>
      <c r="BX243" s="849"/>
      <c r="BY243" s="849"/>
      <c r="BZ243" s="849"/>
      <c r="CA243" s="849"/>
      <c r="CB243" s="849"/>
      <c r="CC243" s="849"/>
      <c r="CD243" s="849"/>
      <c r="CE243" s="849"/>
      <c r="CF243" s="849"/>
      <c r="CG243" s="849"/>
      <c r="CH243" s="849"/>
      <c r="CI243" s="849"/>
      <c r="CJ243" s="849"/>
      <c r="CK243" s="849"/>
      <c r="CL243" s="849"/>
      <c r="CM243" s="849"/>
      <c r="CN243" s="849"/>
      <c r="CO243" s="849"/>
      <c r="CP243" s="849"/>
      <c r="CQ243" s="849"/>
      <c r="CR243" s="849"/>
      <c r="CS243" s="849"/>
      <c r="CT243" s="849"/>
      <c r="CU243" s="849"/>
      <c r="CV243" s="849"/>
      <c r="CW243" s="849"/>
      <c r="CX243" s="849"/>
      <c r="CY243" s="849"/>
      <c r="CZ243" s="849"/>
      <c r="DA243" s="849"/>
      <c r="DB243" s="849"/>
      <c r="DC243" s="849"/>
      <c r="DD243" s="849"/>
      <c r="DE243" s="849"/>
      <c r="DF243" s="849"/>
      <c r="DG243" s="849"/>
      <c r="DH243" s="849"/>
      <c r="DI243" s="849"/>
      <c r="DJ243" s="849"/>
      <c r="DK243" s="849"/>
      <c r="DL243" s="849"/>
      <c r="DM243" s="849"/>
      <c r="DN243" s="849"/>
      <c r="DO243" s="849"/>
      <c r="DP243" s="849"/>
      <c r="DQ243" s="849"/>
      <c r="DR243" s="849"/>
      <c r="DS243" s="849"/>
      <c r="DT243" s="849"/>
      <c r="DU243" s="849"/>
      <c r="DV243" s="849"/>
      <c r="DW243" s="849"/>
      <c r="DX243" s="849"/>
      <c r="DY243" s="849"/>
      <c r="DZ243" s="849"/>
      <c r="EA243" s="849"/>
      <c r="EB243" s="849"/>
      <c r="EC243" s="849"/>
      <c r="ED243" s="849"/>
      <c r="EE243" s="849"/>
      <c r="EF243" s="849"/>
      <c r="EG243" s="849"/>
      <c r="EH243" s="849"/>
      <c r="EI243" s="849"/>
      <c r="EJ243" s="849"/>
      <c r="EK243" s="849"/>
      <c r="EL243" s="849"/>
      <c r="EM243" s="849"/>
      <c r="EN243" s="849"/>
      <c r="EO243" s="849"/>
      <c r="EP243" s="849"/>
      <c r="EQ243" s="849"/>
      <c r="ER243" s="849"/>
      <c r="ES243" s="849"/>
      <c r="ET243" s="849"/>
      <c r="EU243" s="849"/>
      <c r="EV243" s="849"/>
      <c r="EW243" s="849"/>
      <c r="EX243" s="849"/>
      <c r="EY243" s="849"/>
      <c r="EZ243" s="849"/>
      <c r="FA243" s="849"/>
      <c r="FB243" s="849"/>
      <c r="FC243" s="849"/>
      <c r="FD243" s="849"/>
      <c r="FE243" s="849"/>
      <c r="FF243" s="849"/>
      <c r="FG243" s="849"/>
      <c r="FH243" s="849"/>
      <c r="FI243" s="849"/>
      <c r="FJ243" s="849"/>
      <c r="FK243" s="849"/>
      <c r="FL243" s="849"/>
      <c r="FM243" s="849"/>
      <c r="FN243" s="849"/>
      <c r="FO243" s="849"/>
      <c r="FP243" s="849"/>
      <c r="FQ243" s="849"/>
      <c r="FR243" s="849"/>
      <c r="FS243" s="849"/>
      <c r="FT243" s="849"/>
      <c r="FU243" s="849"/>
      <c r="FV243" s="849"/>
      <c r="FW243" s="849"/>
      <c r="FX243" s="849"/>
      <c r="FY243" s="849"/>
      <c r="FZ243" s="849"/>
      <c r="GA243" s="849"/>
      <c r="GB243" s="849"/>
      <c r="GC243" s="849"/>
      <c r="GD243" s="849"/>
      <c r="GE243" s="849"/>
      <c r="GF243" s="849"/>
      <c r="GG243" s="849"/>
      <c r="GH243" s="849"/>
      <c r="GI243" s="849"/>
      <c r="GJ243" s="849"/>
      <c r="GK243" s="849"/>
      <c r="GL243" s="849"/>
      <c r="GM243" s="849"/>
      <c r="GN243" s="849"/>
      <c r="GO243" s="849"/>
      <c r="GP243" s="849"/>
      <c r="GQ243" s="849"/>
      <c r="GR243" s="849"/>
      <c r="GS243" s="849"/>
      <c r="GT243" s="849"/>
      <c r="GU243" s="849"/>
      <c r="GV243" s="849"/>
      <c r="GW243" s="849"/>
      <c r="GX243" s="849"/>
      <c r="GY243" s="849"/>
      <c r="GZ243" s="849"/>
      <c r="HA243" s="849"/>
      <c r="HB243" s="849"/>
      <c r="HC243" s="849"/>
      <c r="HD243" s="849"/>
      <c r="HE243" s="849"/>
      <c r="HF243" s="849"/>
      <c r="HG243" s="849"/>
      <c r="HH243" s="849"/>
      <c r="HI243" s="849"/>
      <c r="HJ243" s="849"/>
      <c r="HK243" s="849"/>
      <c r="HL243" s="849"/>
      <c r="HM243" s="849"/>
      <c r="HN243" s="849"/>
      <c r="HO243" s="849"/>
      <c r="HP243" s="849"/>
      <c r="HQ243" s="849"/>
      <c r="HR243" s="849"/>
    </row>
    <row r="244" spans="1:226" s="850" customFormat="1" ht="20.100000000000001" customHeight="1">
      <c r="A244" s="1504"/>
      <c r="B244" s="1507"/>
      <c r="C244" s="1543"/>
      <c r="D244" s="1543"/>
      <c r="E244" s="851" t="s">
        <v>990</v>
      </c>
      <c r="F244" s="852">
        <f>SUM(F245,F256)</f>
        <v>5080000</v>
      </c>
      <c r="G244" s="852">
        <f>SUM(G245,G256)</f>
        <v>0</v>
      </c>
      <c r="H244" s="852">
        <f>SUM(H245,H256)</f>
        <v>0</v>
      </c>
      <c r="I244" s="852">
        <f>SUM(I245,I256)</f>
        <v>5080000</v>
      </c>
      <c r="J244" s="853">
        <f>SUM(J245,J256)</f>
        <v>0</v>
      </c>
      <c r="K244" s="849"/>
    </row>
    <row r="245" spans="1:226" s="850" customFormat="1" ht="24.95" customHeight="1">
      <c r="A245" s="1504"/>
      <c r="B245" s="1507"/>
      <c r="C245" s="1543"/>
      <c r="D245" s="1543"/>
      <c r="E245" s="860" t="s">
        <v>981</v>
      </c>
      <c r="F245" s="861">
        <f>SUM(F246:F255)</f>
        <v>4002000</v>
      </c>
      <c r="G245" s="861">
        <f>SUM(G246:G255)</f>
        <v>0</v>
      </c>
      <c r="H245" s="861">
        <f>SUM(H246:H255)</f>
        <v>0</v>
      </c>
      <c r="I245" s="861">
        <f>SUM(I246:I255)</f>
        <v>4002000</v>
      </c>
      <c r="J245" s="862">
        <f>SUM(J246:J255)</f>
        <v>0</v>
      </c>
      <c r="K245" s="849"/>
    </row>
    <row r="246" spans="1:226" s="850" customFormat="1" ht="15" customHeight="1">
      <c r="A246" s="1504"/>
      <c r="B246" s="1507"/>
      <c r="C246" s="1543"/>
      <c r="D246" s="1543"/>
      <c r="E246" s="855" t="s">
        <v>214</v>
      </c>
      <c r="F246" s="856">
        <f t="shared" ref="F246:F255" si="17">SUM(G246:J246)</f>
        <v>1940715</v>
      </c>
      <c r="G246" s="856"/>
      <c r="H246" s="856"/>
      <c r="I246" s="856">
        <v>1940715</v>
      </c>
      <c r="J246" s="857"/>
      <c r="K246" s="849"/>
    </row>
    <row r="247" spans="1:226" s="850" customFormat="1" ht="15" customHeight="1">
      <c r="A247" s="1504"/>
      <c r="B247" s="1507"/>
      <c r="C247" s="1543"/>
      <c r="D247" s="1543"/>
      <c r="E247" s="855" t="s">
        <v>215</v>
      </c>
      <c r="F247" s="856">
        <f t="shared" si="17"/>
        <v>1109285</v>
      </c>
      <c r="G247" s="856"/>
      <c r="H247" s="856"/>
      <c r="I247" s="856">
        <v>1109285</v>
      </c>
      <c r="J247" s="857"/>
      <c r="K247" s="849"/>
    </row>
    <row r="248" spans="1:226" s="850" customFormat="1" ht="15" customHeight="1">
      <c r="A248" s="1504"/>
      <c r="B248" s="1507"/>
      <c r="C248" s="1543"/>
      <c r="D248" s="1543"/>
      <c r="E248" s="855" t="s">
        <v>216</v>
      </c>
      <c r="F248" s="856">
        <f t="shared" si="17"/>
        <v>159075</v>
      </c>
      <c r="G248" s="856"/>
      <c r="H248" s="856"/>
      <c r="I248" s="856">
        <v>159075</v>
      </c>
      <c r="J248" s="857"/>
      <c r="K248" s="849"/>
    </row>
    <row r="249" spans="1:226" s="850" customFormat="1" ht="15" customHeight="1">
      <c r="A249" s="1504"/>
      <c r="B249" s="1507"/>
      <c r="C249" s="1543"/>
      <c r="D249" s="1543"/>
      <c r="E249" s="855" t="s">
        <v>217</v>
      </c>
      <c r="F249" s="856">
        <f t="shared" si="17"/>
        <v>90925</v>
      </c>
      <c r="G249" s="856"/>
      <c r="H249" s="856"/>
      <c r="I249" s="856">
        <v>90925</v>
      </c>
      <c r="J249" s="857"/>
      <c r="K249" s="849"/>
    </row>
    <row r="250" spans="1:226" s="850" customFormat="1" ht="15" customHeight="1">
      <c r="A250" s="1504"/>
      <c r="B250" s="1507"/>
      <c r="C250" s="1543"/>
      <c r="D250" s="1543"/>
      <c r="E250" s="855" t="s">
        <v>218</v>
      </c>
      <c r="F250" s="856">
        <f t="shared" si="17"/>
        <v>381780</v>
      </c>
      <c r="G250" s="856"/>
      <c r="H250" s="856"/>
      <c r="I250" s="856">
        <v>381780</v>
      </c>
      <c r="J250" s="857"/>
      <c r="K250" s="849"/>
    </row>
    <row r="251" spans="1:226" s="850" customFormat="1" ht="15" customHeight="1">
      <c r="A251" s="1504"/>
      <c r="B251" s="1507"/>
      <c r="C251" s="1543"/>
      <c r="D251" s="1543"/>
      <c r="E251" s="855" t="s">
        <v>219</v>
      </c>
      <c r="F251" s="856">
        <f t="shared" si="17"/>
        <v>218220</v>
      </c>
      <c r="G251" s="856"/>
      <c r="H251" s="856"/>
      <c r="I251" s="856">
        <v>218220</v>
      </c>
      <c r="J251" s="857"/>
      <c r="K251" s="849"/>
    </row>
    <row r="252" spans="1:226" s="850" customFormat="1" ht="15" customHeight="1">
      <c r="A252" s="1504"/>
      <c r="B252" s="1507"/>
      <c r="C252" s="1543"/>
      <c r="D252" s="1543"/>
      <c r="E252" s="855" t="s">
        <v>220</v>
      </c>
      <c r="F252" s="856">
        <f t="shared" si="17"/>
        <v>63630</v>
      </c>
      <c r="G252" s="856"/>
      <c r="H252" s="856"/>
      <c r="I252" s="856">
        <v>63630</v>
      </c>
      <c r="J252" s="857"/>
      <c r="K252" s="849"/>
    </row>
    <row r="253" spans="1:226" s="850" customFormat="1" ht="15" customHeight="1">
      <c r="A253" s="1504"/>
      <c r="B253" s="1507"/>
      <c r="C253" s="1543"/>
      <c r="D253" s="1543"/>
      <c r="E253" s="855" t="s">
        <v>221</v>
      </c>
      <c r="F253" s="856">
        <f t="shared" si="17"/>
        <v>36370</v>
      </c>
      <c r="G253" s="856"/>
      <c r="H253" s="856"/>
      <c r="I253" s="856">
        <v>36370</v>
      </c>
      <c r="J253" s="857"/>
      <c r="K253" s="849"/>
    </row>
    <row r="254" spans="1:226" s="850" customFormat="1" ht="15" customHeight="1">
      <c r="A254" s="1504"/>
      <c r="B254" s="1507"/>
      <c r="C254" s="1543"/>
      <c r="D254" s="1543"/>
      <c r="E254" s="855" t="s">
        <v>222</v>
      </c>
      <c r="F254" s="856">
        <f t="shared" si="17"/>
        <v>1272</v>
      </c>
      <c r="G254" s="856"/>
      <c r="H254" s="856"/>
      <c r="I254" s="856">
        <v>1272</v>
      </c>
      <c r="J254" s="857"/>
      <c r="K254" s="849"/>
    </row>
    <row r="255" spans="1:226" s="850" customFormat="1" ht="15" customHeight="1">
      <c r="A255" s="1504"/>
      <c r="B255" s="1507"/>
      <c r="C255" s="1543"/>
      <c r="D255" s="1543"/>
      <c r="E255" s="855" t="s">
        <v>223</v>
      </c>
      <c r="F255" s="856">
        <f t="shared" si="17"/>
        <v>728</v>
      </c>
      <c r="G255" s="856"/>
      <c r="H255" s="856"/>
      <c r="I255" s="856">
        <v>728</v>
      </c>
      <c r="J255" s="857"/>
      <c r="K255" s="849"/>
    </row>
    <row r="256" spans="1:226" s="850" customFormat="1" ht="24.95" customHeight="1">
      <c r="A256" s="1504"/>
      <c r="B256" s="1507"/>
      <c r="C256" s="1543"/>
      <c r="D256" s="1543"/>
      <c r="E256" s="860" t="s">
        <v>982</v>
      </c>
      <c r="F256" s="861">
        <f>SUM(F257:F270)</f>
        <v>1078000</v>
      </c>
      <c r="G256" s="861">
        <f>SUM(G257:G270)</f>
        <v>0</v>
      </c>
      <c r="H256" s="861">
        <f>SUM(H257:H270)</f>
        <v>0</v>
      </c>
      <c r="I256" s="861">
        <f>SUM(I257:I270)</f>
        <v>1078000</v>
      </c>
      <c r="J256" s="862">
        <f>SUM(J257:J270)</f>
        <v>0</v>
      </c>
      <c r="K256" s="849"/>
    </row>
    <row r="257" spans="1:11" s="850" customFormat="1" ht="15" customHeight="1">
      <c r="A257" s="1504"/>
      <c r="B257" s="1507"/>
      <c r="C257" s="1543"/>
      <c r="D257" s="1543"/>
      <c r="E257" s="906" t="s">
        <v>224</v>
      </c>
      <c r="F257" s="856">
        <f t="shared" ref="F257:F270" si="18">SUM(G257:J257)</f>
        <v>145076</v>
      </c>
      <c r="G257" s="856"/>
      <c r="H257" s="856"/>
      <c r="I257" s="856">
        <v>145076</v>
      </c>
      <c r="J257" s="857"/>
      <c r="K257" s="849"/>
    </row>
    <row r="258" spans="1:11" s="850" customFormat="1" ht="15" customHeight="1">
      <c r="A258" s="1504"/>
      <c r="B258" s="1507"/>
      <c r="C258" s="1543"/>
      <c r="D258" s="1543"/>
      <c r="E258" s="906" t="s">
        <v>226</v>
      </c>
      <c r="F258" s="856">
        <f t="shared" si="18"/>
        <v>82924</v>
      </c>
      <c r="G258" s="856"/>
      <c r="H258" s="856"/>
      <c r="I258" s="856">
        <v>82924</v>
      </c>
      <c r="J258" s="857"/>
      <c r="K258" s="849"/>
    </row>
    <row r="259" spans="1:11" s="850" customFormat="1" ht="15" customHeight="1">
      <c r="A259" s="1504"/>
      <c r="B259" s="1507"/>
      <c r="C259" s="1543"/>
      <c r="D259" s="1543"/>
      <c r="E259" s="855" t="s">
        <v>227</v>
      </c>
      <c r="F259" s="856">
        <f t="shared" si="18"/>
        <v>45813</v>
      </c>
      <c r="G259" s="856"/>
      <c r="H259" s="856"/>
      <c r="I259" s="856">
        <v>45813</v>
      </c>
      <c r="J259" s="857"/>
      <c r="K259" s="849"/>
    </row>
    <row r="260" spans="1:11" s="850" customFormat="1" ht="15" customHeight="1">
      <c r="A260" s="1504"/>
      <c r="B260" s="1507"/>
      <c r="C260" s="1543"/>
      <c r="D260" s="1543"/>
      <c r="E260" s="855" t="s">
        <v>228</v>
      </c>
      <c r="F260" s="856">
        <f t="shared" si="18"/>
        <v>26187</v>
      </c>
      <c r="G260" s="856"/>
      <c r="H260" s="856"/>
      <c r="I260" s="856">
        <v>26187</v>
      </c>
      <c r="J260" s="857"/>
      <c r="K260" s="849"/>
    </row>
    <row r="261" spans="1:11" s="850" customFormat="1" ht="15" customHeight="1">
      <c r="A261" s="1504"/>
      <c r="B261" s="1507"/>
      <c r="C261" s="1543"/>
      <c r="D261" s="1543"/>
      <c r="E261" s="855" t="s">
        <v>229</v>
      </c>
      <c r="F261" s="856">
        <f t="shared" si="18"/>
        <v>1909</v>
      </c>
      <c r="G261" s="856"/>
      <c r="H261" s="856"/>
      <c r="I261" s="856">
        <v>1909</v>
      </c>
      <c r="J261" s="857"/>
      <c r="K261" s="849"/>
    </row>
    <row r="262" spans="1:11" s="850" customFormat="1" ht="15" customHeight="1">
      <c r="A262" s="1504"/>
      <c r="B262" s="1507"/>
      <c r="C262" s="1543"/>
      <c r="D262" s="1543"/>
      <c r="E262" s="855" t="s">
        <v>230</v>
      </c>
      <c r="F262" s="856">
        <f t="shared" si="18"/>
        <v>1091</v>
      </c>
      <c r="G262" s="856"/>
      <c r="H262" s="856"/>
      <c r="I262" s="856">
        <v>1091</v>
      </c>
      <c r="J262" s="857"/>
      <c r="K262" s="849"/>
    </row>
    <row r="263" spans="1:11" s="850" customFormat="1" ht="15" customHeight="1">
      <c r="A263" s="1504"/>
      <c r="B263" s="1507"/>
      <c r="C263" s="1543"/>
      <c r="D263" s="1543"/>
      <c r="E263" s="855" t="s">
        <v>231</v>
      </c>
      <c r="F263" s="856">
        <f t="shared" si="18"/>
        <v>425920</v>
      </c>
      <c r="G263" s="856"/>
      <c r="H263" s="856"/>
      <c r="I263" s="856">
        <v>425920</v>
      </c>
      <c r="J263" s="857"/>
      <c r="K263" s="849"/>
    </row>
    <row r="264" spans="1:11" s="850" customFormat="1" ht="15" customHeight="1">
      <c r="A264" s="1504"/>
      <c r="B264" s="1507"/>
      <c r="C264" s="1543"/>
      <c r="D264" s="1543"/>
      <c r="E264" s="855" t="s">
        <v>232</v>
      </c>
      <c r="F264" s="856">
        <f t="shared" si="18"/>
        <v>244080</v>
      </c>
      <c r="G264" s="856"/>
      <c r="H264" s="856"/>
      <c r="I264" s="856">
        <v>244080</v>
      </c>
      <c r="J264" s="857"/>
      <c r="K264" s="849"/>
    </row>
    <row r="265" spans="1:11" s="850" customFormat="1" ht="15" customHeight="1">
      <c r="A265" s="1504"/>
      <c r="B265" s="1507"/>
      <c r="C265" s="1543"/>
      <c r="D265" s="1543"/>
      <c r="E265" s="855" t="s">
        <v>233</v>
      </c>
      <c r="F265" s="856">
        <f t="shared" si="18"/>
        <v>24179</v>
      </c>
      <c r="G265" s="856"/>
      <c r="H265" s="856"/>
      <c r="I265" s="856">
        <v>24179</v>
      </c>
      <c r="J265" s="857"/>
      <c r="K265" s="849"/>
    </row>
    <row r="266" spans="1:11" s="850" customFormat="1" ht="15" customHeight="1">
      <c r="A266" s="1504"/>
      <c r="B266" s="1507"/>
      <c r="C266" s="1543"/>
      <c r="D266" s="1543"/>
      <c r="E266" s="855" t="s">
        <v>234</v>
      </c>
      <c r="F266" s="856">
        <f t="shared" si="18"/>
        <v>13821</v>
      </c>
      <c r="G266" s="856"/>
      <c r="H266" s="856"/>
      <c r="I266" s="856">
        <v>13821</v>
      </c>
      <c r="J266" s="857"/>
      <c r="K266" s="849"/>
    </row>
    <row r="267" spans="1:11" s="850" customFormat="1" ht="15" customHeight="1">
      <c r="A267" s="1504"/>
      <c r="B267" s="1507"/>
      <c r="C267" s="1543"/>
      <c r="D267" s="1543"/>
      <c r="E267" s="855" t="s">
        <v>235</v>
      </c>
      <c r="F267" s="856">
        <f t="shared" si="18"/>
        <v>8271</v>
      </c>
      <c r="G267" s="856"/>
      <c r="H267" s="856"/>
      <c r="I267" s="856">
        <v>8271</v>
      </c>
      <c r="J267" s="857"/>
      <c r="K267" s="849"/>
    </row>
    <row r="268" spans="1:11" s="850" customFormat="1" ht="15" customHeight="1">
      <c r="A268" s="1504"/>
      <c r="B268" s="1507"/>
      <c r="C268" s="1543"/>
      <c r="D268" s="1543"/>
      <c r="E268" s="855" t="s">
        <v>236</v>
      </c>
      <c r="F268" s="856">
        <f t="shared" si="18"/>
        <v>4729</v>
      </c>
      <c r="G268" s="856"/>
      <c r="H268" s="856"/>
      <c r="I268" s="856">
        <v>4729</v>
      </c>
      <c r="J268" s="857"/>
      <c r="K268" s="849"/>
    </row>
    <row r="269" spans="1:11" s="850" customFormat="1" ht="15" customHeight="1">
      <c r="A269" s="1504"/>
      <c r="B269" s="1507"/>
      <c r="C269" s="1543"/>
      <c r="D269" s="1543"/>
      <c r="E269" s="855" t="s">
        <v>237</v>
      </c>
      <c r="F269" s="856">
        <f t="shared" si="18"/>
        <v>34360</v>
      </c>
      <c r="G269" s="856"/>
      <c r="H269" s="856"/>
      <c r="I269" s="856">
        <v>34360</v>
      </c>
      <c r="J269" s="857"/>
      <c r="K269" s="849"/>
    </row>
    <row r="270" spans="1:11" s="850" customFormat="1" ht="15" customHeight="1">
      <c r="A270" s="1504"/>
      <c r="B270" s="1507"/>
      <c r="C270" s="1543"/>
      <c r="D270" s="1543"/>
      <c r="E270" s="855" t="s">
        <v>238</v>
      </c>
      <c r="F270" s="856">
        <f t="shared" si="18"/>
        <v>19640</v>
      </c>
      <c r="G270" s="856"/>
      <c r="H270" s="856"/>
      <c r="I270" s="856">
        <v>19640</v>
      </c>
      <c r="J270" s="857"/>
      <c r="K270" s="849"/>
    </row>
    <row r="271" spans="1:11" s="850" customFormat="1" ht="20.100000000000001" customHeight="1">
      <c r="A271" s="1505"/>
      <c r="B271" s="1508"/>
      <c r="C271" s="1544"/>
      <c r="D271" s="1544"/>
      <c r="E271" s="858" t="s">
        <v>977</v>
      </c>
      <c r="F271" s="852">
        <f>SUM(F272:F274)</f>
        <v>0</v>
      </c>
      <c r="G271" s="852">
        <f>SUM(G272:G274)</f>
        <v>0</v>
      </c>
      <c r="H271" s="852">
        <f>SUM(H272:H274)</f>
        <v>0</v>
      </c>
      <c r="I271" s="852">
        <f>SUM(I272:I274)</f>
        <v>0</v>
      </c>
      <c r="J271" s="853">
        <f>SUM(J272:J274)</f>
        <v>0</v>
      </c>
      <c r="K271" s="849"/>
    </row>
    <row r="272" spans="1:11" s="850" customFormat="1" ht="15" hidden="1" customHeight="1">
      <c r="A272" s="902"/>
      <c r="B272" s="903"/>
      <c r="C272" s="905"/>
      <c r="D272" s="905"/>
      <c r="E272" s="868"/>
      <c r="F272" s="869">
        <f>SUM(G272:J272)</f>
        <v>0</v>
      </c>
      <c r="G272" s="869"/>
      <c r="H272" s="869"/>
      <c r="I272" s="869"/>
      <c r="J272" s="870"/>
      <c r="K272" s="849"/>
    </row>
    <row r="273" spans="1:226" s="850" customFormat="1" ht="15" hidden="1" customHeight="1">
      <c r="A273" s="902"/>
      <c r="B273" s="903"/>
      <c r="C273" s="905"/>
      <c r="D273" s="905"/>
      <c r="E273" s="855"/>
      <c r="F273" s="856">
        <f>SUM(G273:J273)</f>
        <v>0</v>
      </c>
      <c r="G273" s="856"/>
      <c r="H273" s="856"/>
      <c r="I273" s="856"/>
      <c r="J273" s="857"/>
      <c r="K273" s="849"/>
    </row>
    <row r="274" spans="1:226" s="850" customFormat="1" ht="15" hidden="1" customHeight="1">
      <c r="A274" s="898"/>
      <c r="B274" s="899"/>
      <c r="C274" s="901"/>
      <c r="D274" s="901"/>
      <c r="E274" s="897"/>
      <c r="F274" s="856">
        <f>SUM(G274:J274)</f>
        <v>0</v>
      </c>
      <c r="G274" s="856"/>
      <c r="H274" s="856"/>
      <c r="I274" s="856"/>
      <c r="J274" s="857"/>
      <c r="K274" s="849"/>
    </row>
    <row r="275" spans="1:226" s="850" customFormat="1" ht="24.95" customHeight="1">
      <c r="A275" s="1503" t="s">
        <v>1020</v>
      </c>
      <c r="B275" s="1506" t="s">
        <v>1021</v>
      </c>
      <c r="C275" s="1542" t="s">
        <v>263</v>
      </c>
      <c r="D275" s="1542" t="s">
        <v>265</v>
      </c>
      <c r="E275" s="846" t="s">
        <v>976</v>
      </c>
      <c r="F275" s="847">
        <f>SUM(F276,F299)</f>
        <v>796000</v>
      </c>
      <c r="G275" s="847">
        <f>SUM(G276,G299)</f>
        <v>0</v>
      </c>
      <c r="H275" s="847">
        <f>SUM(H276,H299)</f>
        <v>0</v>
      </c>
      <c r="I275" s="847">
        <f>SUM(I276,I299)</f>
        <v>796000</v>
      </c>
      <c r="J275" s="848">
        <f>SUM(J276,J299)</f>
        <v>0</v>
      </c>
      <c r="K275" s="849"/>
      <c r="L275" s="849"/>
      <c r="M275" s="849"/>
      <c r="N275" s="849"/>
      <c r="O275" s="849"/>
      <c r="P275" s="849"/>
      <c r="Q275" s="849"/>
      <c r="R275" s="849"/>
      <c r="S275" s="849"/>
      <c r="T275" s="849"/>
      <c r="U275" s="849"/>
      <c r="V275" s="849"/>
      <c r="W275" s="849"/>
      <c r="X275" s="849"/>
      <c r="Y275" s="849"/>
      <c r="Z275" s="849"/>
      <c r="AA275" s="849"/>
      <c r="AB275" s="849"/>
      <c r="AC275" s="849"/>
      <c r="AD275" s="849"/>
      <c r="AE275" s="849"/>
      <c r="AF275" s="849"/>
      <c r="AG275" s="849"/>
      <c r="AH275" s="849"/>
      <c r="AI275" s="849"/>
      <c r="AJ275" s="849"/>
      <c r="AK275" s="849"/>
      <c r="AL275" s="849"/>
      <c r="AM275" s="849"/>
      <c r="AN275" s="849"/>
      <c r="AO275" s="849"/>
      <c r="AP275" s="849"/>
      <c r="AQ275" s="849"/>
      <c r="AR275" s="849"/>
      <c r="AS275" s="849"/>
      <c r="AT275" s="849"/>
      <c r="AU275" s="849"/>
      <c r="AV275" s="849"/>
      <c r="AW275" s="849"/>
      <c r="AX275" s="849"/>
      <c r="AY275" s="849"/>
      <c r="AZ275" s="849"/>
      <c r="BA275" s="849"/>
      <c r="BB275" s="849"/>
      <c r="BC275" s="849"/>
      <c r="BD275" s="849"/>
      <c r="BE275" s="849"/>
      <c r="BF275" s="849"/>
      <c r="BG275" s="849"/>
      <c r="BH275" s="849"/>
      <c r="BI275" s="849"/>
      <c r="BJ275" s="849"/>
      <c r="BK275" s="849"/>
      <c r="BL275" s="849"/>
      <c r="BM275" s="849"/>
      <c r="BN275" s="849"/>
      <c r="BO275" s="849"/>
      <c r="BP275" s="849"/>
      <c r="BQ275" s="849"/>
      <c r="BR275" s="849"/>
      <c r="BS275" s="849"/>
      <c r="BT275" s="849"/>
      <c r="BU275" s="849"/>
      <c r="BV275" s="849"/>
      <c r="BW275" s="849"/>
      <c r="BX275" s="849"/>
      <c r="BY275" s="849"/>
      <c r="BZ275" s="849"/>
      <c r="CA275" s="849"/>
      <c r="CB275" s="849"/>
      <c r="CC275" s="849"/>
      <c r="CD275" s="849"/>
      <c r="CE275" s="849"/>
      <c r="CF275" s="849"/>
      <c r="CG275" s="849"/>
      <c r="CH275" s="849"/>
      <c r="CI275" s="849"/>
      <c r="CJ275" s="849"/>
      <c r="CK275" s="849"/>
      <c r="CL275" s="849"/>
      <c r="CM275" s="849"/>
      <c r="CN275" s="849"/>
      <c r="CO275" s="849"/>
      <c r="CP275" s="849"/>
      <c r="CQ275" s="849"/>
      <c r="CR275" s="849"/>
      <c r="CS275" s="849"/>
      <c r="CT275" s="849"/>
      <c r="CU275" s="849"/>
      <c r="CV275" s="849"/>
      <c r="CW275" s="849"/>
      <c r="CX275" s="849"/>
      <c r="CY275" s="849"/>
      <c r="CZ275" s="849"/>
      <c r="DA275" s="849"/>
      <c r="DB275" s="849"/>
      <c r="DC275" s="849"/>
      <c r="DD275" s="849"/>
      <c r="DE275" s="849"/>
      <c r="DF275" s="849"/>
      <c r="DG275" s="849"/>
      <c r="DH275" s="849"/>
      <c r="DI275" s="849"/>
      <c r="DJ275" s="849"/>
      <c r="DK275" s="849"/>
      <c r="DL275" s="849"/>
      <c r="DM275" s="849"/>
      <c r="DN275" s="849"/>
      <c r="DO275" s="849"/>
      <c r="DP275" s="849"/>
      <c r="DQ275" s="849"/>
      <c r="DR275" s="849"/>
      <c r="DS275" s="849"/>
      <c r="DT275" s="849"/>
      <c r="DU275" s="849"/>
      <c r="DV275" s="849"/>
      <c r="DW275" s="849"/>
      <c r="DX275" s="849"/>
      <c r="DY275" s="849"/>
      <c r="DZ275" s="849"/>
      <c r="EA275" s="849"/>
      <c r="EB275" s="849"/>
      <c r="EC275" s="849"/>
      <c r="ED275" s="849"/>
      <c r="EE275" s="849"/>
      <c r="EF275" s="849"/>
      <c r="EG275" s="849"/>
      <c r="EH275" s="849"/>
      <c r="EI275" s="849"/>
      <c r="EJ275" s="849"/>
      <c r="EK275" s="849"/>
      <c r="EL275" s="849"/>
      <c r="EM275" s="849"/>
      <c r="EN275" s="849"/>
      <c r="EO275" s="849"/>
      <c r="EP275" s="849"/>
      <c r="EQ275" s="849"/>
      <c r="ER275" s="849"/>
      <c r="ES275" s="849"/>
      <c r="ET275" s="849"/>
      <c r="EU275" s="849"/>
      <c r="EV275" s="849"/>
      <c r="EW275" s="849"/>
      <c r="EX275" s="849"/>
      <c r="EY275" s="849"/>
      <c r="EZ275" s="849"/>
      <c r="FA275" s="849"/>
      <c r="FB275" s="849"/>
      <c r="FC275" s="849"/>
      <c r="FD275" s="849"/>
      <c r="FE275" s="849"/>
      <c r="FF275" s="849"/>
      <c r="FG275" s="849"/>
      <c r="FH275" s="849"/>
      <c r="FI275" s="849"/>
      <c r="FJ275" s="849"/>
      <c r="FK275" s="849"/>
      <c r="FL275" s="849"/>
      <c r="FM275" s="849"/>
      <c r="FN275" s="849"/>
      <c r="FO275" s="849"/>
      <c r="FP275" s="849"/>
      <c r="FQ275" s="849"/>
      <c r="FR275" s="849"/>
      <c r="FS275" s="849"/>
      <c r="FT275" s="849"/>
      <c r="FU275" s="849"/>
      <c r="FV275" s="849"/>
      <c r="FW275" s="849"/>
      <c r="FX275" s="849"/>
      <c r="FY275" s="849"/>
      <c r="FZ275" s="849"/>
      <c r="GA275" s="849"/>
      <c r="GB275" s="849"/>
      <c r="GC275" s="849"/>
      <c r="GD275" s="849"/>
      <c r="GE275" s="849"/>
      <c r="GF275" s="849"/>
      <c r="GG275" s="849"/>
      <c r="GH275" s="849"/>
      <c r="GI275" s="849"/>
      <c r="GJ275" s="849"/>
      <c r="GK275" s="849"/>
      <c r="GL275" s="849"/>
      <c r="GM275" s="849"/>
      <c r="GN275" s="849"/>
      <c r="GO275" s="849"/>
      <c r="GP275" s="849"/>
      <c r="GQ275" s="849"/>
      <c r="GR275" s="849"/>
      <c r="GS275" s="849"/>
      <c r="GT275" s="849"/>
      <c r="GU275" s="849"/>
      <c r="GV275" s="849"/>
      <c r="GW275" s="849"/>
      <c r="GX275" s="849"/>
      <c r="GY275" s="849"/>
      <c r="GZ275" s="849"/>
      <c r="HA275" s="849"/>
      <c r="HB275" s="849"/>
      <c r="HC275" s="849"/>
      <c r="HD275" s="849"/>
      <c r="HE275" s="849"/>
      <c r="HF275" s="849"/>
      <c r="HG275" s="849"/>
      <c r="HH275" s="849"/>
      <c r="HI275" s="849"/>
      <c r="HJ275" s="849"/>
      <c r="HK275" s="849"/>
      <c r="HL275" s="849"/>
      <c r="HM275" s="849"/>
      <c r="HN275" s="849"/>
      <c r="HO275" s="849"/>
      <c r="HP275" s="849"/>
      <c r="HQ275" s="849"/>
      <c r="HR275" s="849"/>
    </row>
    <row r="276" spans="1:226" s="850" customFormat="1" ht="20.100000000000001" customHeight="1">
      <c r="A276" s="1504"/>
      <c r="B276" s="1507"/>
      <c r="C276" s="1543"/>
      <c r="D276" s="1543"/>
      <c r="E276" s="851" t="s">
        <v>990</v>
      </c>
      <c r="F276" s="852">
        <f>SUM(F277,F288)</f>
        <v>780000</v>
      </c>
      <c r="G276" s="852">
        <f>SUM(G277,G288)</f>
        <v>0</v>
      </c>
      <c r="H276" s="852">
        <f>SUM(H277,H288)</f>
        <v>0</v>
      </c>
      <c r="I276" s="852">
        <f>SUM(I277,I288)</f>
        <v>780000</v>
      </c>
      <c r="J276" s="853">
        <f>SUM(J277,J288)</f>
        <v>0</v>
      </c>
      <c r="K276" s="849"/>
    </row>
    <row r="277" spans="1:226" s="850" customFormat="1" ht="24.95" customHeight="1">
      <c r="A277" s="1504"/>
      <c r="B277" s="1507"/>
      <c r="C277" s="1543"/>
      <c r="D277" s="1543"/>
      <c r="E277" s="860" t="s">
        <v>981</v>
      </c>
      <c r="F277" s="861">
        <f>SUM(F278:F287)</f>
        <v>600600</v>
      </c>
      <c r="G277" s="861">
        <f>SUM(G278:G287)</f>
        <v>0</v>
      </c>
      <c r="H277" s="861">
        <f>SUM(H278:H287)</f>
        <v>0</v>
      </c>
      <c r="I277" s="861">
        <f>SUM(I278:I287)</f>
        <v>600600</v>
      </c>
      <c r="J277" s="862">
        <f>SUM(J278:J287)</f>
        <v>0</v>
      </c>
      <c r="K277" s="849"/>
    </row>
    <row r="278" spans="1:226" s="850" customFormat="1" ht="15" customHeight="1">
      <c r="A278" s="1504"/>
      <c r="B278" s="1507"/>
      <c r="C278" s="1543"/>
      <c r="D278" s="1543"/>
      <c r="E278" s="855" t="s">
        <v>214</v>
      </c>
      <c r="F278" s="856">
        <f t="shared" ref="F278:F287" si="19">SUM(G278:J278)</f>
        <v>336000</v>
      </c>
      <c r="G278" s="856"/>
      <c r="H278" s="856"/>
      <c r="I278" s="856">
        <v>336000</v>
      </c>
      <c r="J278" s="857"/>
      <c r="K278" s="849"/>
    </row>
    <row r="279" spans="1:226" s="850" customFormat="1" ht="15" customHeight="1">
      <c r="A279" s="1504"/>
      <c r="B279" s="1507"/>
      <c r="C279" s="1543"/>
      <c r="D279" s="1543"/>
      <c r="E279" s="855" t="s">
        <v>215</v>
      </c>
      <c r="F279" s="856">
        <f t="shared" si="19"/>
        <v>112000</v>
      </c>
      <c r="G279" s="856"/>
      <c r="H279" s="856"/>
      <c r="I279" s="856">
        <v>112000</v>
      </c>
      <c r="J279" s="857"/>
      <c r="K279" s="849"/>
    </row>
    <row r="280" spans="1:226" s="850" customFormat="1" ht="15" customHeight="1">
      <c r="A280" s="1504"/>
      <c r="B280" s="1507"/>
      <c r="C280" s="1543"/>
      <c r="D280" s="1543"/>
      <c r="E280" s="855" t="s">
        <v>216</v>
      </c>
      <c r="F280" s="856">
        <f t="shared" si="19"/>
        <v>41250</v>
      </c>
      <c r="G280" s="856"/>
      <c r="H280" s="856"/>
      <c r="I280" s="856">
        <v>41250</v>
      </c>
      <c r="J280" s="857"/>
      <c r="K280" s="849"/>
    </row>
    <row r="281" spans="1:226" s="850" customFormat="1" ht="15" customHeight="1">
      <c r="A281" s="1504"/>
      <c r="B281" s="1507"/>
      <c r="C281" s="1543"/>
      <c r="D281" s="1543"/>
      <c r="E281" s="855" t="s">
        <v>217</v>
      </c>
      <c r="F281" s="856">
        <f t="shared" si="19"/>
        <v>13750</v>
      </c>
      <c r="G281" s="856"/>
      <c r="H281" s="856"/>
      <c r="I281" s="856">
        <v>13750</v>
      </c>
      <c r="J281" s="857"/>
      <c r="K281" s="849"/>
    </row>
    <row r="282" spans="1:226" s="850" customFormat="1" ht="15" customHeight="1">
      <c r="A282" s="1504"/>
      <c r="B282" s="1507"/>
      <c r="C282" s="1543"/>
      <c r="D282" s="1543"/>
      <c r="E282" s="855" t="s">
        <v>218</v>
      </c>
      <c r="F282" s="856">
        <f t="shared" si="19"/>
        <v>64200</v>
      </c>
      <c r="G282" s="856"/>
      <c r="H282" s="856"/>
      <c r="I282" s="856">
        <v>64200</v>
      </c>
      <c r="J282" s="857"/>
      <c r="K282" s="849"/>
    </row>
    <row r="283" spans="1:226" s="850" customFormat="1" ht="15" customHeight="1">
      <c r="A283" s="1504"/>
      <c r="B283" s="1507"/>
      <c r="C283" s="1543"/>
      <c r="D283" s="1543"/>
      <c r="E283" s="855" t="s">
        <v>219</v>
      </c>
      <c r="F283" s="856">
        <f t="shared" si="19"/>
        <v>21400</v>
      </c>
      <c r="G283" s="856"/>
      <c r="H283" s="856"/>
      <c r="I283" s="856">
        <v>21400</v>
      </c>
      <c r="J283" s="857"/>
      <c r="K283" s="849"/>
    </row>
    <row r="284" spans="1:226" s="850" customFormat="1" ht="15" customHeight="1">
      <c r="A284" s="1504"/>
      <c r="B284" s="1507"/>
      <c r="C284" s="1543"/>
      <c r="D284" s="1543"/>
      <c r="E284" s="855" t="s">
        <v>220</v>
      </c>
      <c r="F284" s="856">
        <f t="shared" si="19"/>
        <v>8550</v>
      </c>
      <c r="G284" s="856"/>
      <c r="H284" s="856"/>
      <c r="I284" s="856">
        <v>8550</v>
      </c>
      <c r="J284" s="857"/>
      <c r="K284" s="849"/>
    </row>
    <row r="285" spans="1:226" s="850" customFormat="1" ht="15" customHeight="1">
      <c r="A285" s="1504"/>
      <c r="B285" s="1507"/>
      <c r="C285" s="1543"/>
      <c r="D285" s="1543"/>
      <c r="E285" s="855" t="s">
        <v>221</v>
      </c>
      <c r="F285" s="856">
        <f t="shared" si="19"/>
        <v>2850</v>
      </c>
      <c r="G285" s="856"/>
      <c r="H285" s="856"/>
      <c r="I285" s="856">
        <v>2850</v>
      </c>
      <c r="J285" s="857"/>
      <c r="K285" s="849"/>
    </row>
    <row r="286" spans="1:226" s="850" customFormat="1" ht="15" customHeight="1">
      <c r="A286" s="1504"/>
      <c r="B286" s="1507"/>
      <c r="C286" s="1543"/>
      <c r="D286" s="1543"/>
      <c r="E286" s="855" t="s">
        <v>222</v>
      </c>
      <c r="F286" s="856">
        <f t="shared" si="19"/>
        <v>450</v>
      </c>
      <c r="G286" s="856"/>
      <c r="H286" s="856"/>
      <c r="I286" s="856">
        <v>450</v>
      </c>
      <c r="J286" s="857"/>
      <c r="K286" s="849"/>
    </row>
    <row r="287" spans="1:226" s="850" customFormat="1" ht="15" customHeight="1">
      <c r="A287" s="1504"/>
      <c r="B287" s="1507"/>
      <c r="C287" s="1543"/>
      <c r="D287" s="1543"/>
      <c r="E287" s="855" t="s">
        <v>223</v>
      </c>
      <c r="F287" s="856">
        <f t="shared" si="19"/>
        <v>150</v>
      </c>
      <c r="G287" s="856"/>
      <c r="H287" s="856"/>
      <c r="I287" s="856">
        <v>150</v>
      </c>
      <c r="J287" s="857"/>
      <c r="K287" s="849"/>
    </row>
    <row r="288" spans="1:226" s="850" customFormat="1" ht="24.95" customHeight="1">
      <c r="A288" s="1504"/>
      <c r="B288" s="1507"/>
      <c r="C288" s="1543"/>
      <c r="D288" s="1543"/>
      <c r="E288" s="860" t="s">
        <v>982</v>
      </c>
      <c r="F288" s="861">
        <f>SUM(F289:F298)</f>
        <v>179400</v>
      </c>
      <c r="G288" s="861">
        <f>SUM(G289:G298)</f>
        <v>0</v>
      </c>
      <c r="H288" s="861">
        <f>SUM(H289:H298)</f>
        <v>0</v>
      </c>
      <c r="I288" s="861">
        <f>SUM(I289:I298)</f>
        <v>179400</v>
      </c>
      <c r="J288" s="862">
        <f>SUM(J289:J298)</f>
        <v>0</v>
      </c>
      <c r="K288" s="849"/>
    </row>
    <row r="289" spans="1:11" s="850" customFormat="1" ht="15" customHeight="1">
      <c r="A289" s="1504"/>
      <c r="B289" s="1507"/>
      <c r="C289" s="1543"/>
      <c r="D289" s="1543"/>
      <c r="E289" s="855" t="s">
        <v>227</v>
      </c>
      <c r="F289" s="856">
        <f t="shared" ref="F289:F298" si="20">SUM(G289:J289)</f>
        <v>39300</v>
      </c>
      <c r="G289" s="856"/>
      <c r="H289" s="856"/>
      <c r="I289" s="856">
        <v>39300</v>
      </c>
      <c r="J289" s="857"/>
      <c r="K289" s="849"/>
    </row>
    <row r="290" spans="1:11" s="850" customFormat="1" ht="15" customHeight="1">
      <c r="A290" s="1504"/>
      <c r="B290" s="1507"/>
      <c r="C290" s="1543"/>
      <c r="D290" s="1543"/>
      <c r="E290" s="855" t="s">
        <v>228</v>
      </c>
      <c r="F290" s="856">
        <f t="shared" si="20"/>
        <v>13100</v>
      </c>
      <c r="G290" s="856"/>
      <c r="H290" s="856"/>
      <c r="I290" s="856">
        <v>13100</v>
      </c>
      <c r="J290" s="857"/>
      <c r="K290" s="849"/>
    </row>
    <row r="291" spans="1:11" s="850" customFormat="1" ht="15" customHeight="1">
      <c r="A291" s="1504"/>
      <c r="B291" s="1507"/>
      <c r="C291" s="1543"/>
      <c r="D291" s="1543"/>
      <c r="E291" s="855" t="s">
        <v>229</v>
      </c>
      <c r="F291" s="856">
        <f t="shared" si="20"/>
        <v>3750</v>
      </c>
      <c r="G291" s="856"/>
      <c r="H291" s="856"/>
      <c r="I291" s="856">
        <v>3750</v>
      </c>
      <c r="J291" s="857"/>
      <c r="K291" s="849"/>
    </row>
    <row r="292" spans="1:11" s="850" customFormat="1" ht="15" customHeight="1">
      <c r="A292" s="1504"/>
      <c r="B292" s="1507"/>
      <c r="C292" s="1543"/>
      <c r="D292" s="1543"/>
      <c r="E292" s="855" t="s">
        <v>230</v>
      </c>
      <c r="F292" s="856">
        <f t="shared" si="20"/>
        <v>1250</v>
      </c>
      <c r="G292" s="856"/>
      <c r="H292" s="856"/>
      <c r="I292" s="856">
        <v>1250</v>
      </c>
      <c r="J292" s="857"/>
      <c r="K292" s="849"/>
    </row>
    <row r="293" spans="1:11" s="850" customFormat="1" ht="15" customHeight="1">
      <c r="A293" s="1504"/>
      <c r="B293" s="1507"/>
      <c r="C293" s="1543"/>
      <c r="D293" s="1543"/>
      <c r="E293" s="855" t="s">
        <v>231</v>
      </c>
      <c r="F293" s="856">
        <f t="shared" si="20"/>
        <v>69750</v>
      </c>
      <c r="G293" s="856"/>
      <c r="H293" s="856"/>
      <c r="I293" s="856">
        <v>69750</v>
      </c>
      <c r="J293" s="857"/>
      <c r="K293" s="849"/>
    </row>
    <row r="294" spans="1:11" s="850" customFormat="1" ht="15" customHeight="1">
      <c r="A294" s="1504"/>
      <c r="B294" s="1507"/>
      <c r="C294" s="1543"/>
      <c r="D294" s="1543"/>
      <c r="E294" s="855" t="s">
        <v>232</v>
      </c>
      <c r="F294" s="856">
        <f t="shared" si="20"/>
        <v>23250</v>
      </c>
      <c r="G294" s="856"/>
      <c r="H294" s="856"/>
      <c r="I294" s="856">
        <v>23250</v>
      </c>
      <c r="J294" s="857"/>
      <c r="K294" s="849"/>
    </row>
    <row r="295" spans="1:11" s="850" customFormat="1" ht="15" customHeight="1">
      <c r="A295" s="1504"/>
      <c r="B295" s="1507"/>
      <c r="C295" s="1543"/>
      <c r="D295" s="1543"/>
      <c r="E295" s="855" t="s">
        <v>233</v>
      </c>
      <c r="F295" s="856">
        <f t="shared" si="20"/>
        <v>12000</v>
      </c>
      <c r="G295" s="856"/>
      <c r="H295" s="856"/>
      <c r="I295" s="856">
        <v>12000</v>
      </c>
      <c r="J295" s="857"/>
      <c r="K295" s="849"/>
    </row>
    <row r="296" spans="1:11" s="850" customFormat="1" ht="15" customHeight="1">
      <c r="A296" s="1504"/>
      <c r="B296" s="1507"/>
      <c r="C296" s="1543"/>
      <c r="D296" s="1543"/>
      <c r="E296" s="855" t="s">
        <v>234</v>
      </c>
      <c r="F296" s="856">
        <f t="shared" si="20"/>
        <v>4000</v>
      </c>
      <c r="G296" s="856"/>
      <c r="H296" s="856"/>
      <c r="I296" s="856">
        <v>4000</v>
      </c>
      <c r="J296" s="857"/>
      <c r="K296" s="849"/>
    </row>
    <row r="297" spans="1:11" s="850" customFormat="1" ht="15" customHeight="1">
      <c r="A297" s="1504"/>
      <c r="B297" s="1507"/>
      <c r="C297" s="1543"/>
      <c r="D297" s="1543"/>
      <c r="E297" s="855" t="s">
        <v>237</v>
      </c>
      <c r="F297" s="856">
        <f t="shared" si="20"/>
        <v>9750</v>
      </c>
      <c r="G297" s="856"/>
      <c r="H297" s="856"/>
      <c r="I297" s="856">
        <v>9750</v>
      </c>
      <c r="J297" s="857"/>
      <c r="K297" s="849"/>
    </row>
    <row r="298" spans="1:11" s="850" customFormat="1" ht="15" customHeight="1">
      <c r="A298" s="1504"/>
      <c r="B298" s="1507"/>
      <c r="C298" s="1543"/>
      <c r="D298" s="1543"/>
      <c r="E298" s="855" t="s">
        <v>238</v>
      </c>
      <c r="F298" s="856">
        <f t="shared" si="20"/>
        <v>3250</v>
      </c>
      <c r="G298" s="856"/>
      <c r="H298" s="856"/>
      <c r="I298" s="856">
        <v>3250</v>
      </c>
      <c r="J298" s="857"/>
      <c r="K298" s="849"/>
    </row>
    <row r="299" spans="1:11" s="850" customFormat="1" ht="20.100000000000001" customHeight="1">
      <c r="A299" s="1504"/>
      <c r="B299" s="1507"/>
      <c r="C299" s="1543"/>
      <c r="D299" s="1543"/>
      <c r="E299" s="858" t="s">
        <v>977</v>
      </c>
      <c r="F299" s="852">
        <f>SUM(F300:F301)</f>
        <v>16000</v>
      </c>
      <c r="G299" s="852">
        <f>SUM(G300:G301)</f>
        <v>0</v>
      </c>
      <c r="H299" s="852">
        <f>SUM(H300:H301)</f>
        <v>0</v>
      </c>
      <c r="I299" s="852">
        <f>SUM(I300:I301)</f>
        <v>16000</v>
      </c>
      <c r="J299" s="853">
        <f>SUM(J300:J301)</f>
        <v>0</v>
      </c>
      <c r="K299" s="849"/>
    </row>
    <row r="300" spans="1:11" s="850" customFormat="1" ht="15" customHeight="1">
      <c r="A300" s="1504"/>
      <c r="B300" s="1507"/>
      <c r="C300" s="1543"/>
      <c r="D300" s="1543"/>
      <c r="E300" s="855" t="s">
        <v>273</v>
      </c>
      <c r="F300" s="856">
        <f>SUM(G300:J300)</f>
        <v>12000</v>
      </c>
      <c r="G300" s="856"/>
      <c r="H300" s="856"/>
      <c r="I300" s="856">
        <v>12000</v>
      </c>
      <c r="J300" s="857"/>
      <c r="K300" s="849"/>
    </row>
    <row r="301" spans="1:11" s="850" customFormat="1" ht="15" customHeight="1">
      <c r="A301" s="1505"/>
      <c r="B301" s="1508"/>
      <c r="C301" s="1544"/>
      <c r="D301" s="1544"/>
      <c r="E301" s="897">
        <v>6069</v>
      </c>
      <c r="F301" s="856">
        <f>SUM(G301:J301)</f>
        <v>4000</v>
      </c>
      <c r="G301" s="856"/>
      <c r="H301" s="856"/>
      <c r="I301" s="856">
        <v>4000</v>
      </c>
      <c r="J301" s="857"/>
      <c r="K301" s="849"/>
    </row>
    <row r="302" spans="1:11" s="850" customFormat="1" ht="24.95" customHeight="1">
      <c r="A302" s="1503" t="s">
        <v>1022</v>
      </c>
      <c r="B302" s="1506" t="s">
        <v>1023</v>
      </c>
      <c r="C302" s="1542" t="s">
        <v>4</v>
      </c>
      <c r="D302" s="1542" t="s">
        <v>453</v>
      </c>
      <c r="E302" s="846" t="s">
        <v>976</v>
      </c>
      <c r="F302" s="847">
        <f>SUM(F303,F330)</f>
        <v>2200000</v>
      </c>
      <c r="G302" s="847">
        <f>SUM(G303,G330)</f>
        <v>0</v>
      </c>
      <c r="H302" s="847">
        <f>SUM(H303,H330)</f>
        <v>1870000</v>
      </c>
      <c r="I302" s="847">
        <f>SUM(I303,I330)</f>
        <v>330000</v>
      </c>
      <c r="J302" s="848">
        <f>SUM(J303,J330)</f>
        <v>0</v>
      </c>
      <c r="K302" s="849"/>
    </row>
    <row r="303" spans="1:11" s="850" customFormat="1" ht="24.95" customHeight="1">
      <c r="A303" s="1504"/>
      <c r="B303" s="1507"/>
      <c r="C303" s="1543"/>
      <c r="D303" s="1543"/>
      <c r="E303" s="851" t="s">
        <v>990</v>
      </c>
      <c r="F303" s="852">
        <f>SUM(F304,F313)</f>
        <v>2200000</v>
      </c>
      <c r="G303" s="852">
        <f>SUM(G304,G313)</f>
        <v>0</v>
      </c>
      <c r="H303" s="852">
        <f>SUM(H304,H313)</f>
        <v>1870000</v>
      </c>
      <c r="I303" s="852">
        <f>SUM(I304,I313)</f>
        <v>330000</v>
      </c>
      <c r="J303" s="853">
        <f>SUM(J304,J313)</f>
        <v>0</v>
      </c>
      <c r="K303" s="849"/>
    </row>
    <row r="304" spans="1:11" s="850" customFormat="1" ht="24.95" customHeight="1">
      <c r="A304" s="1504"/>
      <c r="B304" s="1507"/>
      <c r="C304" s="1543"/>
      <c r="D304" s="1543"/>
      <c r="E304" s="860" t="s">
        <v>981</v>
      </c>
      <c r="F304" s="861">
        <f>SUM(F305:F312)</f>
        <v>1366000</v>
      </c>
      <c r="G304" s="861">
        <f>SUM(G305:G312)</f>
        <v>0</v>
      </c>
      <c r="H304" s="861">
        <f>SUM(H305:H312)</f>
        <v>1161100</v>
      </c>
      <c r="I304" s="861">
        <f>SUM(I305:I312)</f>
        <v>204900</v>
      </c>
      <c r="J304" s="862">
        <f>SUM(J305:J312)</f>
        <v>0</v>
      </c>
      <c r="K304" s="849"/>
    </row>
    <row r="305" spans="1:11" s="850" customFormat="1" ht="15" customHeight="1">
      <c r="A305" s="1504"/>
      <c r="B305" s="1507"/>
      <c r="C305" s="1543"/>
      <c r="D305" s="1543"/>
      <c r="E305" s="855" t="s">
        <v>214</v>
      </c>
      <c r="F305" s="856">
        <f t="shared" ref="F305:F312" si="21">SUM(G305:J305)</f>
        <v>889933</v>
      </c>
      <c r="G305" s="856"/>
      <c r="H305" s="856">
        <v>889933</v>
      </c>
      <c r="I305" s="856"/>
      <c r="J305" s="857"/>
      <c r="K305" s="849"/>
    </row>
    <row r="306" spans="1:11" s="850" customFormat="1" ht="15" customHeight="1">
      <c r="A306" s="1504"/>
      <c r="B306" s="1507"/>
      <c r="C306" s="1543"/>
      <c r="D306" s="1543"/>
      <c r="E306" s="855" t="s">
        <v>215</v>
      </c>
      <c r="F306" s="856">
        <f t="shared" si="21"/>
        <v>157047</v>
      </c>
      <c r="G306" s="856"/>
      <c r="H306" s="856"/>
      <c r="I306" s="856">
        <v>157047</v>
      </c>
      <c r="J306" s="857"/>
      <c r="K306" s="849"/>
    </row>
    <row r="307" spans="1:11" s="850" customFormat="1" ht="15" customHeight="1">
      <c r="A307" s="1504"/>
      <c r="B307" s="1507"/>
      <c r="C307" s="1543"/>
      <c r="D307" s="1543"/>
      <c r="E307" s="855" t="s">
        <v>216</v>
      </c>
      <c r="F307" s="856">
        <f t="shared" si="21"/>
        <v>51000</v>
      </c>
      <c r="G307" s="856"/>
      <c r="H307" s="856">
        <v>51000</v>
      </c>
      <c r="I307" s="856"/>
      <c r="J307" s="857"/>
      <c r="K307" s="849"/>
    </row>
    <row r="308" spans="1:11" s="850" customFormat="1" ht="15" customHeight="1">
      <c r="A308" s="1504"/>
      <c r="B308" s="1507"/>
      <c r="C308" s="1543"/>
      <c r="D308" s="1543"/>
      <c r="E308" s="855" t="s">
        <v>217</v>
      </c>
      <c r="F308" s="856">
        <f t="shared" si="21"/>
        <v>9000</v>
      </c>
      <c r="G308" s="856"/>
      <c r="H308" s="856"/>
      <c r="I308" s="856">
        <v>9000</v>
      </c>
      <c r="J308" s="857"/>
      <c r="K308" s="849"/>
    </row>
    <row r="309" spans="1:11" s="850" customFormat="1" ht="15" customHeight="1">
      <c r="A309" s="1504"/>
      <c r="B309" s="1507"/>
      <c r="C309" s="1543"/>
      <c r="D309" s="1543"/>
      <c r="E309" s="855" t="s">
        <v>218</v>
      </c>
      <c r="F309" s="856">
        <f t="shared" si="21"/>
        <v>169660</v>
      </c>
      <c r="G309" s="856"/>
      <c r="H309" s="856">
        <v>169660</v>
      </c>
      <c r="I309" s="856"/>
      <c r="J309" s="857"/>
      <c r="K309" s="849"/>
    </row>
    <row r="310" spans="1:11" s="850" customFormat="1" ht="15" customHeight="1">
      <c r="A310" s="1504"/>
      <c r="B310" s="1507"/>
      <c r="C310" s="1543"/>
      <c r="D310" s="1543"/>
      <c r="E310" s="855" t="s">
        <v>219</v>
      </c>
      <c r="F310" s="856">
        <f t="shared" si="21"/>
        <v>29940</v>
      </c>
      <c r="G310" s="856"/>
      <c r="H310" s="856"/>
      <c r="I310" s="856">
        <v>29940</v>
      </c>
      <c r="J310" s="857"/>
      <c r="K310" s="849"/>
    </row>
    <row r="311" spans="1:11" s="850" customFormat="1" ht="15" customHeight="1">
      <c r="A311" s="1504"/>
      <c r="B311" s="1507"/>
      <c r="C311" s="1543"/>
      <c r="D311" s="1543"/>
      <c r="E311" s="855" t="s">
        <v>220</v>
      </c>
      <c r="F311" s="856">
        <f t="shared" si="21"/>
        <v>50507</v>
      </c>
      <c r="G311" s="856"/>
      <c r="H311" s="856">
        <v>50507</v>
      </c>
      <c r="I311" s="856"/>
      <c r="J311" s="857"/>
      <c r="K311" s="849"/>
    </row>
    <row r="312" spans="1:11" s="850" customFormat="1" ht="15" customHeight="1">
      <c r="A312" s="1504"/>
      <c r="B312" s="1507"/>
      <c r="C312" s="1543"/>
      <c r="D312" s="1543"/>
      <c r="E312" s="855" t="s">
        <v>221</v>
      </c>
      <c r="F312" s="856">
        <f t="shared" si="21"/>
        <v>8913</v>
      </c>
      <c r="G312" s="856"/>
      <c r="H312" s="856"/>
      <c r="I312" s="856">
        <v>8913</v>
      </c>
      <c r="J312" s="857"/>
      <c r="K312" s="849"/>
    </row>
    <row r="313" spans="1:11" s="850" customFormat="1" ht="24.95" customHeight="1">
      <c r="A313" s="1504"/>
      <c r="B313" s="1507"/>
      <c r="C313" s="1543"/>
      <c r="D313" s="1543"/>
      <c r="E313" s="860" t="s">
        <v>982</v>
      </c>
      <c r="F313" s="861">
        <f>SUM(F314:F329)</f>
        <v>834000</v>
      </c>
      <c r="G313" s="861">
        <f>SUM(G314:G329)</f>
        <v>0</v>
      </c>
      <c r="H313" s="861">
        <f>SUM(H314:H329)</f>
        <v>708900</v>
      </c>
      <c r="I313" s="861">
        <f>SUM(I314:I329)</f>
        <v>125100</v>
      </c>
      <c r="J313" s="862">
        <f>SUM(J314:J329)</f>
        <v>0</v>
      </c>
      <c r="K313" s="849"/>
    </row>
    <row r="314" spans="1:11" s="850" customFormat="1" ht="15" customHeight="1">
      <c r="A314" s="1504"/>
      <c r="B314" s="1507"/>
      <c r="C314" s="1543"/>
      <c r="D314" s="1543"/>
      <c r="E314" s="855" t="s">
        <v>227</v>
      </c>
      <c r="F314" s="856">
        <f t="shared" ref="F314:F329" si="22">SUM(G314:J314)</f>
        <v>131954</v>
      </c>
      <c r="G314" s="856"/>
      <c r="H314" s="856">
        <v>131954</v>
      </c>
      <c r="I314" s="856"/>
      <c r="J314" s="857"/>
      <c r="K314" s="849"/>
    </row>
    <row r="315" spans="1:11" s="850" customFormat="1" ht="15" customHeight="1">
      <c r="A315" s="1504"/>
      <c r="B315" s="1507"/>
      <c r="C315" s="1543"/>
      <c r="D315" s="1543"/>
      <c r="E315" s="855" t="s">
        <v>228</v>
      </c>
      <c r="F315" s="856">
        <f t="shared" si="22"/>
        <v>23286</v>
      </c>
      <c r="G315" s="856"/>
      <c r="H315" s="856"/>
      <c r="I315" s="856">
        <v>23286</v>
      </c>
      <c r="J315" s="857"/>
      <c r="K315" s="849"/>
    </row>
    <row r="316" spans="1:11" s="850" customFormat="1" ht="15" customHeight="1">
      <c r="A316" s="1504"/>
      <c r="B316" s="1507"/>
      <c r="C316" s="1543"/>
      <c r="D316" s="1543"/>
      <c r="E316" s="855" t="s">
        <v>398</v>
      </c>
      <c r="F316" s="856">
        <f t="shared" si="22"/>
        <v>17850</v>
      </c>
      <c r="G316" s="856"/>
      <c r="H316" s="856">
        <v>17850</v>
      </c>
      <c r="I316" s="856"/>
      <c r="J316" s="857"/>
      <c r="K316" s="849"/>
    </row>
    <row r="317" spans="1:11" s="850" customFormat="1" ht="15" customHeight="1">
      <c r="A317" s="1504"/>
      <c r="B317" s="1507"/>
      <c r="C317" s="1543"/>
      <c r="D317" s="1543"/>
      <c r="E317" s="855" t="s">
        <v>399</v>
      </c>
      <c r="F317" s="856">
        <f t="shared" si="22"/>
        <v>3150</v>
      </c>
      <c r="G317" s="856"/>
      <c r="H317" s="856"/>
      <c r="I317" s="856">
        <v>3150</v>
      </c>
      <c r="J317" s="857"/>
      <c r="K317" s="849"/>
    </row>
    <row r="318" spans="1:11" s="850" customFormat="1" ht="15" customHeight="1">
      <c r="A318" s="1504"/>
      <c r="B318" s="1507"/>
      <c r="C318" s="1543"/>
      <c r="D318" s="1543"/>
      <c r="E318" s="855" t="s">
        <v>231</v>
      </c>
      <c r="F318" s="856">
        <f t="shared" si="22"/>
        <v>433296</v>
      </c>
      <c r="G318" s="856"/>
      <c r="H318" s="856">
        <v>433296</v>
      </c>
      <c r="I318" s="856"/>
      <c r="J318" s="857"/>
      <c r="K318" s="849"/>
    </row>
    <row r="319" spans="1:11" s="850" customFormat="1" ht="15" customHeight="1">
      <c r="A319" s="1504"/>
      <c r="B319" s="1507"/>
      <c r="C319" s="1543"/>
      <c r="D319" s="1543"/>
      <c r="E319" s="855" t="s">
        <v>232</v>
      </c>
      <c r="F319" s="856">
        <f t="shared" si="22"/>
        <v>76464</v>
      </c>
      <c r="G319" s="856"/>
      <c r="H319" s="856"/>
      <c r="I319" s="856">
        <v>76464</v>
      </c>
      <c r="J319" s="857"/>
      <c r="K319" s="849"/>
    </row>
    <row r="320" spans="1:11" s="850" customFormat="1" ht="15" customHeight="1">
      <c r="A320" s="1504"/>
      <c r="B320" s="1507"/>
      <c r="C320" s="1543"/>
      <c r="D320" s="1543"/>
      <c r="E320" s="855" t="s">
        <v>270</v>
      </c>
      <c r="F320" s="856">
        <f t="shared" si="22"/>
        <v>10200</v>
      </c>
      <c r="G320" s="856"/>
      <c r="H320" s="856">
        <v>10200</v>
      </c>
      <c r="I320" s="856"/>
      <c r="J320" s="857"/>
      <c r="K320" s="849"/>
    </row>
    <row r="321" spans="1:11" s="850" customFormat="1" ht="15" customHeight="1">
      <c r="A321" s="1504"/>
      <c r="B321" s="1507"/>
      <c r="C321" s="1543"/>
      <c r="D321" s="1543"/>
      <c r="E321" s="855" t="s">
        <v>271</v>
      </c>
      <c r="F321" s="856">
        <f t="shared" si="22"/>
        <v>1800</v>
      </c>
      <c r="G321" s="856"/>
      <c r="H321" s="856"/>
      <c r="I321" s="856">
        <v>1800</v>
      </c>
      <c r="J321" s="857"/>
      <c r="K321" s="849"/>
    </row>
    <row r="322" spans="1:11" s="850" customFormat="1" ht="15" customHeight="1">
      <c r="A322" s="1504"/>
      <c r="B322" s="1507"/>
      <c r="C322" s="1543"/>
      <c r="D322" s="1543"/>
      <c r="E322" s="855" t="s">
        <v>415</v>
      </c>
      <c r="F322" s="856">
        <f t="shared" si="22"/>
        <v>20400</v>
      </c>
      <c r="G322" s="856"/>
      <c r="H322" s="856">
        <v>20400</v>
      </c>
      <c r="I322" s="856"/>
      <c r="J322" s="857"/>
      <c r="K322" s="849"/>
    </row>
    <row r="323" spans="1:11" s="850" customFormat="1" ht="15" customHeight="1">
      <c r="A323" s="1504"/>
      <c r="B323" s="1507"/>
      <c r="C323" s="1543"/>
      <c r="D323" s="1543"/>
      <c r="E323" s="855" t="s">
        <v>416</v>
      </c>
      <c r="F323" s="856">
        <f t="shared" si="22"/>
        <v>3600</v>
      </c>
      <c r="G323" s="856"/>
      <c r="H323" s="856"/>
      <c r="I323" s="856">
        <v>3600</v>
      </c>
      <c r="J323" s="857"/>
      <c r="K323" s="849"/>
    </row>
    <row r="324" spans="1:11" s="850" customFormat="1" ht="15" customHeight="1">
      <c r="A324" s="1504"/>
      <c r="B324" s="1507"/>
      <c r="C324" s="1543"/>
      <c r="D324" s="1543"/>
      <c r="E324" s="855" t="s">
        <v>233</v>
      </c>
      <c r="F324" s="856">
        <f t="shared" si="22"/>
        <v>25500</v>
      </c>
      <c r="G324" s="856"/>
      <c r="H324" s="856">
        <v>25500</v>
      </c>
      <c r="I324" s="856"/>
      <c r="J324" s="857"/>
      <c r="K324" s="849"/>
    </row>
    <row r="325" spans="1:11" s="850" customFormat="1" ht="15" customHeight="1">
      <c r="A325" s="1504"/>
      <c r="B325" s="1507"/>
      <c r="C325" s="1543"/>
      <c r="D325" s="1543"/>
      <c r="E325" s="855" t="s">
        <v>234</v>
      </c>
      <c r="F325" s="856">
        <f t="shared" si="22"/>
        <v>4500</v>
      </c>
      <c r="G325" s="856"/>
      <c r="H325" s="856"/>
      <c r="I325" s="856">
        <v>4500</v>
      </c>
      <c r="J325" s="857"/>
      <c r="K325" s="849"/>
    </row>
    <row r="326" spans="1:11" s="850" customFormat="1" ht="15" customHeight="1">
      <c r="A326" s="1504"/>
      <c r="B326" s="1507"/>
      <c r="C326" s="1543"/>
      <c r="D326" s="1543"/>
      <c r="E326" s="855" t="s">
        <v>420</v>
      </c>
      <c r="F326" s="856">
        <f t="shared" si="22"/>
        <v>1700</v>
      </c>
      <c r="G326" s="856"/>
      <c r="H326" s="856">
        <v>1700</v>
      </c>
      <c r="I326" s="856"/>
      <c r="J326" s="857"/>
      <c r="K326" s="849"/>
    </row>
    <row r="327" spans="1:11" s="850" customFormat="1" ht="15" customHeight="1">
      <c r="A327" s="1504"/>
      <c r="B327" s="1507"/>
      <c r="C327" s="1543"/>
      <c r="D327" s="1543"/>
      <c r="E327" s="855" t="s">
        <v>421</v>
      </c>
      <c r="F327" s="856">
        <f t="shared" si="22"/>
        <v>300</v>
      </c>
      <c r="G327" s="856"/>
      <c r="H327" s="856"/>
      <c r="I327" s="856">
        <v>300</v>
      </c>
      <c r="J327" s="857"/>
      <c r="K327" s="849"/>
    </row>
    <row r="328" spans="1:11" s="850" customFormat="1" ht="15" customHeight="1">
      <c r="A328" s="1504"/>
      <c r="B328" s="1507"/>
      <c r="C328" s="1543"/>
      <c r="D328" s="1543"/>
      <c r="E328" s="855" t="s">
        <v>237</v>
      </c>
      <c r="F328" s="856">
        <f t="shared" si="22"/>
        <v>68000</v>
      </c>
      <c r="G328" s="856"/>
      <c r="H328" s="856">
        <v>68000</v>
      </c>
      <c r="I328" s="856"/>
      <c r="J328" s="857"/>
      <c r="K328" s="849"/>
    </row>
    <row r="329" spans="1:11" s="850" customFormat="1" ht="15" customHeight="1">
      <c r="A329" s="1504"/>
      <c r="B329" s="1507"/>
      <c r="C329" s="1543"/>
      <c r="D329" s="1543"/>
      <c r="E329" s="855" t="s">
        <v>238</v>
      </c>
      <c r="F329" s="856">
        <f t="shared" si="22"/>
        <v>12000</v>
      </c>
      <c r="G329" s="856"/>
      <c r="H329" s="856"/>
      <c r="I329" s="856">
        <v>12000</v>
      </c>
      <c r="J329" s="857"/>
      <c r="K329" s="849"/>
    </row>
    <row r="330" spans="1:11" s="850" customFormat="1" ht="24.95" customHeight="1">
      <c r="A330" s="1505"/>
      <c r="B330" s="1508"/>
      <c r="C330" s="1544"/>
      <c r="D330" s="1544"/>
      <c r="E330" s="858" t="s">
        <v>977</v>
      </c>
      <c r="F330" s="852">
        <f>SUM(F331:F333)</f>
        <v>0</v>
      </c>
      <c r="G330" s="852">
        <f>SUM(G331:G333)</f>
        <v>0</v>
      </c>
      <c r="H330" s="852">
        <f>SUM(H331:H333)</f>
        <v>0</v>
      </c>
      <c r="I330" s="852">
        <f>SUM(I331:I333)</f>
        <v>0</v>
      </c>
      <c r="J330" s="853">
        <f>SUM(J331:J333)</f>
        <v>0</v>
      </c>
      <c r="K330" s="849"/>
    </row>
    <row r="331" spans="1:11" s="850" customFormat="1" ht="15" hidden="1" customHeight="1">
      <c r="A331" s="902"/>
      <c r="B331" s="903"/>
      <c r="C331" s="905"/>
      <c r="D331" s="905"/>
      <c r="E331" s="868"/>
      <c r="F331" s="869">
        <f>SUM(G331:J331)</f>
        <v>0</v>
      </c>
      <c r="G331" s="869"/>
      <c r="H331" s="869"/>
      <c r="I331" s="869"/>
      <c r="J331" s="870"/>
      <c r="K331" s="849"/>
    </row>
    <row r="332" spans="1:11" s="850" customFormat="1" ht="15" hidden="1" customHeight="1">
      <c r="A332" s="902"/>
      <c r="B332" s="903"/>
      <c r="C332" s="905"/>
      <c r="D332" s="905"/>
      <c r="E332" s="855"/>
      <c r="F332" s="856">
        <f>SUM(G332:J332)</f>
        <v>0</v>
      </c>
      <c r="G332" s="856"/>
      <c r="H332" s="856"/>
      <c r="I332" s="856"/>
      <c r="J332" s="857"/>
      <c r="K332" s="849"/>
    </row>
    <row r="333" spans="1:11" s="850" customFormat="1" ht="15" hidden="1" customHeight="1">
      <c r="A333" s="898"/>
      <c r="B333" s="899"/>
      <c r="C333" s="901"/>
      <c r="D333" s="901"/>
      <c r="E333" s="897"/>
      <c r="F333" s="856">
        <f>SUM(G333:J333)</f>
        <v>0</v>
      </c>
      <c r="G333" s="856"/>
      <c r="H333" s="856"/>
      <c r="I333" s="856"/>
      <c r="J333" s="857"/>
      <c r="K333" s="849"/>
    </row>
    <row r="334" spans="1:11" s="850" customFormat="1" ht="24.95" customHeight="1">
      <c r="A334" s="1503" t="s">
        <v>1024</v>
      </c>
      <c r="B334" s="1506" t="s">
        <v>1025</v>
      </c>
      <c r="C334" s="1542" t="s">
        <v>4</v>
      </c>
      <c r="D334" s="1542" t="s">
        <v>453</v>
      </c>
      <c r="E334" s="846" t="s">
        <v>976</v>
      </c>
      <c r="F334" s="847">
        <f>SUM(F335,F353)</f>
        <v>3231300</v>
      </c>
      <c r="G334" s="847">
        <f>SUM(G335,G353)</f>
        <v>35130</v>
      </c>
      <c r="H334" s="847">
        <f>SUM(H335,H353)</f>
        <v>2716745</v>
      </c>
      <c r="I334" s="847">
        <f>SUM(I335,I353)</f>
        <v>479425</v>
      </c>
      <c r="J334" s="848">
        <f>SUM(J335,J353)</f>
        <v>0</v>
      </c>
      <c r="K334" s="849"/>
    </row>
    <row r="335" spans="1:11" s="850" customFormat="1" ht="24.95" customHeight="1">
      <c r="A335" s="1504"/>
      <c r="B335" s="1507"/>
      <c r="C335" s="1543"/>
      <c r="D335" s="1543"/>
      <c r="E335" s="851" t="s">
        <v>990</v>
      </c>
      <c r="F335" s="852">
        <f>SUM(F336,F339,F348)</f>
        <v>3221300</v>
      </c>
      <c r="G335" s="852">
        <f>SUM(G336,G339,G348)</f>
        <v>34130</v>
      </c>
      <c r="H335" s="852">
        <f>SUM(H336,H339,H348)</f>
        <v>2709095</v>
      </c>
      <c r="I335" s="852">
        <f>SUM(I336,I339,I348)</f>
        <v>478075</v>
      </c>
      <c r="J335" s="853">
        <f>SUM(J336,J339,J348)</f>
        <v>0</v>
      </c>
      <c r="K335" s="849"/>
    </row>
    <row r="336" spans="1:11" s="850" customFormat="1" ht="22.5">
      <c r="A336" s="1504"/>
      <c r="B336" s="1507"/>
      <c r="C336" s="1543"/>
      <c r="D336" s="1543"/>
      <c r="E336" s="860" t="s">
        <v>1026</v>
      </c>
      <c r="F336" s="861">
        <f>SUM(F337:F338)</f>
        <v>2880000</v>
      </c>
      <c r="G336" s="861">
        <f t="shared" ref="G336:J336" si="23">SUM(G337:G338)</f>
        <v>0</v>
      </c>
      <c r="H336" s="861">
        <f t="shared" si="23"/>
        <v>2448000</v>
      </c>
      <c r="I336" s="861">
        <f t="shared" si="23"/>
        <v>432000</v>
      </c>
      <c r="J336" s="862">
        <f t="shared" si="23"/>
        <v>0</v>
      </c>
      <c r="K336" s="849"/>
    </row>
    <row r="337" spans="1:11" s="850" customFormat="1" ht="15" customHeight="1">
      <c r="A337" s="1504"/>
      <c r="B337" s="1507"/>
      <c r="C337" s="1543"/>
      <c r="D337" s="1543"/>
      <c r="E337" s="855" t="s">
        <v>466</v>
      </c>
      <c r="F337" s="856">
        <f t="shared" ref="F337:F338" si="24">SUM(G337:J337)</f>
        <v>2448000</v>
      </c>
      <c r="G337" s="856"/>
      <c r="H337" s="856">
        <v>2448000</v>
      </c>
      <c r="I337" s="856"/>
      <c r="J337" s="857"/>
      <c r="K337" s="849"/>
    </row>
    <row r="338" spans="1:11" s="850" customFormat="1" ht="15" customHeight="1">
      <c r="A338" s="1504"/>
      <c r="B338" s="1507"/>
      <c r="C338" s="1543"/>
      <c r="D338" s="1543"/>
      <c r="E338" s="855" t="s">
        <v>282</v>
      </c>
      <c r="F338" s="856">
        <f t="shared" si="24"/>
        <v>432000</v>
      </c>
      <c r="G338" s="856"/>
      <c r="H338" s="856"/>
      <c r="I338" s="856">
        <v>432000</v>
      </c>
      <c r="J338" s="857"/>
      <c r="K338" s="849"/>
    </row>
    <row r="339" spans="1:11" s="850" customFormat="1" ht="24.95" customHeight="1">
      <c r="A339" s="1504"/>
      <c r="B339" s="1507"/>
      <c r="C339" s="1543"/>
      <c r="D339" s="1543"/>
      <c r="E339" s="860" t="s">
        <v>981</v>
      </c>
      <c r="F339" s="861">
        <f>SUM(F340:F347)</f>
        <v>324000</v>
      </c>
      <c r="G339" s="861">
        <f>SUM(G340:G347)</f>
        <v>32400</v>
      </c>
      <c r="H339" s="861">
        <f>SUM(H340:H347)</f>
        <v>247860</v>
      </c>
      <c r="I339" s="861">
        <f>SUM(I340:I347)</f>
        <v>43740</v>
      </c>
      <c r="J339" s="862">
        <f>SUM(J340:J347)</f>
        <v>0</v>
      </c>
      <c r="K339" s="849"/>
    </row>
    <row r="340" spans="1:11" s="850" customFormat="1" ht="15" customHeight="1">
      <c r="A340" s="1504"/>
      <c r="B340" s="1507"/>
      <c r="C340" s="1543"/>
      <c r="D340" s="1543"/>
      <c r="E340" s="855" t="s">
        <v>214</v>
      </c>
      <c r="F340" s="856">
        <f t="shared" ref="F340:F347" si="25">SUM(G340:J340)</f>
        <v>195662</v>
      </c>
      <c r="G340" s="856"/>
      <c r="H340" s="856">
        <v>195662</v>
      </c>
      <c r="I340" s="856"/>
      <c r="J340" s="857"/>
      <c r="K340" s="849"/>
    </row>
    <row r="341" spans="1:11" s="850" customFormat="1" ht="15" customHeight="1">
      <c r="A341" s="1504"/>
      <c r="B341" s="1507"/>
      <c r="C341" s="1543"/>
      <c r="D341" s="1543"/>
      <c r="E341" s="855" t="s">
        <v>215</v>
      </c>
      <c r="F341" s="856">
        <f t="shared" si="25"/>
        <v>60106</v>
      </c>
      <c r="G341" s="856">
        <v>25577</v>
      </c>
      <c r="H341" s="856"/>
      <c r="I341" s="856">
        <v>34529</v>
      </c>
      <c r="J341" s="857"/>
      <c r="K341" s="849"/>
    </row>
    <row r="342" spans="1:11" s="850" customFormat="1" ht="15" customHeight="1">
      <c r="A342" s="1504"/>
      <c r="B342" s="1507"/>
      <c r="C342" s="1543"/>
      <c r="D342" s="1543"/>
      <c r="E342" s="855" t="s">
        <v>218</v>
      </c>
      <c r="F342" s="856">
        <f t="shared" si="25"/>
        <v>33635</v>
      </c>
      <c r="G342" s="856"/>
      <c r="H342" s="856">
        <v>33635</v>
      </c>
      <c r="I342" s="856"/>
      <c r="J342" s="857"/>
      <c r="K342" s="849"/>
    </row>
    <row r="343" spans="1:11" s="850" customFormat="1" ht="15" customHeight="1">
      <c r="A343" s="1504"/>
      <c r="B343" s="1507"/>
      <c r="C343" s="1543"/>
      <c r="D343" s="1543"/>
      <c r="E343" s="855" t="s">
        <v>219</v>
      </c>
      <c r="F343" s="856">
        <f t="shared" si="25"/>
        <v>10332</v>
      </c>
      <c r="G343" s="856">
        <v>4397</v>
      </c>
      <c r="H343" s="856"/>
      <c r="I343" s="856">
        <v>5935</v>
      </c>
      <c r="J343" s="857"/>
      <c r="K343" s="849"/>
    </row>
    <row r="344" spans="1:11" s="850" customFormat="1" ht="15" customHeight="1">
      <c r="A344" s="1504"/>
      <c r="B344" s="1507"/>
      <c r="C344" s="1543"/>
      <c r="D344" s="1543"/>
      <c r="E344" s="855" t="s">
        <v>220</v>
      </c>
      <c r="F344" s="856">
        <f t="shared" si="25"/>
        <v>4793</v>
      </c>
      <c r="G344" s="856"/>
      <c r="H344" s="856">
        <v>4793</v>
      </c>
      <c r="I344" s="856"/>
      <c r="J344" s="857"/>
      <c r="K344" s="849"/>
    </row>
    <row r="345" spans="1:11" s="850" customFormat="1" ht="15" customHeight="1">
      <c r="A345" s="1504"/>
      <c r="B345" s="1507"/>
      <c r="C345" s="1543"/>
      <c r="D345" s="1543"/>
      <c r="E345" s="855" t="s">
        <v>221</v>
      </c>
      <c r="F345" s="856">
        <f t="shared" si="25"/>
        <v>1472</v>
      </c>
      <c r="G345" s="856">
        <v>626</v>
      </c>
      <c r="H345" s="856"/>
      <c r="I345" s="856">
        <v>846</v>
      </c>
      <c r="J345" s="857"/>
      <c r="K345" s="849"/>
    </row>
    <row r="346" spans="1:11" s="850" customFormat="1" ht="15" customHeight="1">
      <c r="A346" s="1504"/>
      <c r="B346" s="1507"/>
      <c r="C346" s="1543"/>
      <c r="D346" s="1543"/>
      <c r="E346" s="855" t="s">
        <v>222</v>
      </c>
      <c r="F346" s="856">
        <f t="shared" si="25"/>
        <v>13770</v>
      </c>
      <c r="G346" s="856"/>
      <c r="H346" s="856">
        <v>13770</v>
      </c>
      <c r="I346" s="856"/>
      <c r="J346" s="857"/>
      <c r="K346" s="849"/>
    </row>
    <row r="347" spans="1:11" s="850" customFormat="1" ht="15" customHeight="1">
      <c r="A347" s="1504"/>
      <c r="B347" s="1507"/>
      <c r="C347" s="1543"/>
      <c r="D347" s="1543"/>
      <c r="E347" s="855" t="s">
        <v>223</v>
      </c>
      <c r="F347" s="856">
        <f t="shared" si="25"/>
        <v>4230</v>
      </c>
      <c r="G347" s="856">
        <v>1800</v>
      </c>
      <c r="H347" s="856"/>
      <c r="I347" s="856">
        <v>2430</v>
      </c>
      <c r="J347" s="857"/>
      <c r="K347" s="849"/>
    </row>
    <row r="348" spans="1:11" s="850" customFormat="1" ht="24.95" customHeight="1">
      <c r="A348" s="1504"/>
      <c r="B348" s="1507"/>
      <c r="C348" s="1543"/>
      <c r="D348" s="1543"/>
      <c r="E348" s="860" t="s">
        <v>982</v>
      </c>
      <c r="F348" s="861">
        <f>SUM(F349:F352)</f>
        <v>17300</v>
      </c>
      <c r="G348" s="861">
        <f>SUM(G349:G352)</f>
        <v>1730</v>
      </c>
      <c r="H348" s="861">
        <f>SUM(H349:H352)</f>
        <v>13235</v>
      </c>
      <c r="I348" s="861">
        <f>SUM(I349:I352)</f>
        <v>2335</v>
      </c>
      <c r="J348" s="862">
        <f>SUM(J349:J352)</f>
        <v>0</v>
      </c>
      <c r="K348" s="849"/>
    </row>
    <row r="349" spans="1:11" s="850" customFormat="1" ht="15" customHeight="1">
      <c r="A349" s="1504"/>
      <c r="B349" s="1507"/>
      <c r="C349" s="1543"/>
      <c r="D349" s="1543"/>
      <c r="E349" s="855" t="s">
        <v>227</v>
      </c>
      <c r="F349" s="856">
        <f t="shared" ref="F349:F352" si="26">SUM(G349:J349)</f>
        <v>1377</v>
      </c>
      <c r="G349" s="856"/>
      <c r="H349" s="856">
        <v>1377</v>
      </c>
      <c r="I349" s="856"/>
      <c r="J349" s="857"/>
      <c r="K349" s="849"/>
    </row>
    <row r="350" spans="1:11" s="850" customFormat="1" ht="15" customHeight="1">
      <c r="A350" s="1504"/>
      <c r="B350" s="1507"/>
      <c r="C350" s="1543"/>
      <c r="D350" s="1543"/>
      <c r="E350" s="855" t="s">
        <v>228</v>
      </c>
      <c r="F350" s="856">
        <f t="shared" si="26"/>
        <v>423</v>
      </c>
      <c r="G350" s="856">
        <v>180</v>
      </c>
      <c r="H350" s="856"/>
      <c r="I350" s="856">
        <v>243</v>
      </c>
      <c r="J350" s="857"/>
      <c r="K350" s="849"/>
    </row>
    <row r="351" spans="1:11" s="850" customFormat="1" ht="15" customHeight="1">
      <c r="A351" s="1504"/>
      <c r="B351" s="1507"/>
      <c r="C351" s="1543"/>
      <c r="D351" s="1543"/>
      <c r="E351" s="855" t="s">
        <v>231</v>
      </c>
      <c r="F351" s="856">
        <f t="shared" si="26"/>
        <v>11858</v>
      </c>
      <c r="G351" s="856"/>
      <c r="H351" s="856">
        <v>11858</v>
      </c>
      <c r="I351" s="856"/>
      <c r="J351" s="857"/>
      <c r="K351" s="849"/>
    </row>
    <row r="352" spans="1:11" s="850" customFormat="1" ht="15" customHeight="1">
      <c r="A352" s="1504"/>
      <c r="B352" s="1507"/>
      <c r="C352" s="1543"/>
      <c r="D352" s="1543"/>
      <c r="E352" s="855" t="s">
        <v>232</v>
      </c>
      <c r="F352" s="856">
        <f t="shared" si="26"/>
        <v>3642</v>
      </c>
      <c r="G352" s="856">
        <v>1550</v>
      </c>
      <c r="H352" s="856"/>
      <c r="I352" s="856">
        <v>2092</v>
      </c>
      <c r="J352" s="857"/>
      <c r="K352" s="849"/>
    </row>
    <row r="353" spans="1:226" s="850" customFormat="1" ht="24.95" customHeight="1">
      <c r="A353" s="1504"/>
      <c r="B353" s="1507"/>
      <c r="C353" s="1543"/>
      <c r="D353" s="1543"/>
      <c r="E353" s="858" t="s">
        <v>977</v>
      </c>
      <c r="F353" s="852">
        <f>SUM(F354:F355)</f>
        <v>10000</v>
      </c>
      <c r="G353" s="852">
        <f>SUM(G354:G355)</f>
        <v>1000</v>
      </c>
      <c r="H353" s="852">
        <f>SUM(H354:H355)</f>
        <v>7650</v>
      </c>
      <c r="I353" s="852">
        <f>SUM(I354:I355)</f>
        <v>1350</v>
      </c>
      <c r="J353" s="853">
        <f>SUM(J354:J355)</f>
        <v>0</v>
      </c>
      <c r="K353" s="849"/>
    </row>
    <row r="354" spans="1:226" s="850" customFormat="1" ht="15" customHeight="1">
      <c r="A354" s="1504"/>
      <c r="B354" s="1507"/>
      <c r="C354" s="1543"/>
      <c r="D354" s="1543"/>
      <c r="E354" s="855" t="s">
        <v>273</v>
      </c>
      <c r="F354" s="856">
        <f>SUM(G354:J354)</f>
        <v>7650</v>
      </c>
      <c r="G354" s="856"/>
      <c r="H354" s="856">
        <v>7650</v>
      </c>
      <c r="I354" s="856"/>
      <c r="J354" s="857"/>
      <c r="K354" s="849"/>
    </row>
    <row r="355" spans="1:226" s="850" customFormat="1" ht="15" customHeight="1" thickBot="1">
      <c r="A355" s="1505"/>
      <c r="B355" s="1508"/>
      <c r="C355" s="1544"/>
      <c r="D355" s="1544"/>
      <c r="E355" s="897">
        <v>6069</v>
      </c>
      <c r="F355" s="856">
        <f>SUM(G355:J355)</f>
        <v>2350</v>
      </c>
      <c r="G355" s="856">
        <v>1000</v>
      </c>
      <c r="H355" s="856"/>
      <c r="I355" s="856">
        <v>1350</v>
      </c>
      <c r="J355" s="857"/>
      <c r="K355" s="849"/>
    </row>
    <row r="356" spans="1:226" s="850" customFormat="1" ht="24.95" customHeight="1">
      <c r="A356" s="907" t="s">
        <v>983</v>
      </c>
      <c r="B356" s="1537" t="s">
        <v>1027</v>
      </c>
      <c r="C356" s="1537"/>
      <c r="D356" s="1537"/>
      <c r="E356" s="1537"/>
      <c r="F356" s="908">
        <f>F358+F370+F384+F398+F412+F426+F438+F452+F466+F480+F494+F506+F520</f>
        <v>58036667</v>
      </c>
      <c r="G356" s="908">
        <f>G358+G370+G384+G398+G412+G426+G438+G452+G466+G480+G494+G506+G520</f>
        <v>8032000</v>
      </c>
      <c r="H356" s="908">
        <f>H358+H370+H384+H398+H412+H426+H438+H452+H466+H480+H494+H506+H520</f>
        <v>46568667</v>
      </c>
      <c r="I356" s="908">
        <f>I358+I370+I384+I398+I412+I426+I438+I452+I466+I480+I494+I506+I520</f>
        <v>0</v>
      </c>
      <c r="J356" s="909">
        <f>J358+J370+J384+J398+J412+J426+J438+J452+J466+J480+J494+J506+J520</f>
        <v>3436000</v>
      </c>
      <c r="K356" s="849"/>
      <c r="L356" s="849"/>
      <c r="M356" s="849"/>
      <c r="N356" s="849"/>
      <c r="O356" s="849"/>
      <c r="P356" s="849"/>
      <c r="Q356" s="849"/>
      <c r="R356" s="849"/>
      <c r="S356" s="849"/>
      <c r="T356" s="849"/>
      <c r="U356" s="849"/>
      <c r="V356" s="849"/>
      <c r="W356" s="849"/>
      <c r="X356" s="849"/>
      <c r="Y356" s="849"/>
      <c r="Z356" s="849"/>
      <c r="AA356" s="849"/>
      <c r="AB356" s="849"/>
      <c r="AC356" s="849"/>
      <c r="AD356" s="849"/>
      <c r="AE356" s="849"/>
      <c r="AF356" s="849"/>
      <c r="AG356" s="849"/>
      <c r="AH356" s="849"/>
      <c r="AI356" s="849"/>
      <c r="AJ356" s="849"/>
      <c r="AK356" s="849"/>
      <c r="AL356" s="849"/>
      <c r="AM356" s="849"/>
      <c r="AN356" s="849"/>
      <c r="AO356" s="849"/>
      <c r="AP356" s="849"/>
      <c r="AQ356" s="849"/>
      <c r="AR356" s="849"/>
      <c r="AS356" s="849"/>
      <c r="AT356" s="849"/>
      <c r="AU356" s="849"/>
      <c r="AV356" s="849"/>
      <c r="AW356" s="849"/>
      <c r="AX356" s="849"/>
      <c r="AY356" s="849"/>
      <c r="AZ356" s="849"/>
      <c r="BA356" s="849"/>
      <c r="BB356" s="849"/>
      <c r="BC356" s="849"/>
      <c r="BD356" s="849"/>
      <c r="BE356" s="849"/>
      <c r="BF356" s="849"/>
      <c r="BG356" s="849"/>
      <c r="BH356" s="849"/>
      <c r="BI356" s="849"/>
      <c r="BJ356" s="849"/>
      <c r="BK356" s="849"/>
      <c r="BL356" s="849"/>
      <c r="BM356" s="849"/>
      <c r="BN356" s="849"/>
      <c r="BO356" s="849"/>
      <c r="BP356" s="849"/>
      <c r="BQ356" s="849"/>
      <c r="BR356" s="849"/>
      <c r="BS356" s="849"/>
      <c r="BT356" s="849"/>
      <c r="BU356" s="849"/>
      <c r="BV356" s="849"/>
      <c r="BW356" s="849"/>
      <c r="BX356" s="849"/>
      <c r="BY356" s="849"/>
      <c r="BZ356" s="849"/>
      <c r="CA356" s="849"/>
      <c r="CB356" s="849"/>
      <c r="CC356" s="849"/>
      <c r="CD356" s="849"/>
      <c r="CE356" s="849"/>
      <c r="CF356" s="849"/>
      <c r="CG356" s="849"/>
      <c r="CH356" s="849"/>
      <c r="CI356" s="849"/>
      <c r="CJ356" s="849"/>
      <c r="CK356" s="849"/>
      <c r="CL356" s="849"/>
      <c r="CM356" s="849"/>
      <c r="CN356" s="849"/>
      <c r="CO356" s="849"/>
      <c r="CP356" s="849"/>
      <c r="CQ356" s="849"/>
      <c r="CR356" s="849"/>
      <c r="CS356" s="849"/>
      <c r="CT356" s="849"/>
      <c r="CU356" s="849"/>
      <c r="CV356" s="849"/>
      <c r="CW356" s="849"/>
      <c r="CX356" s="849"/>
      <c r="CY356" s="849"/>
      <c r="CZ356" s="849"/>
      <c r="DA356" s="849"/>
      <c r="DB356" s="849"/>
      <c r="DC356" s="849"/>
      <c r="DD356" s="849"/>
      <c r="DE356" s="849"/>
      <c r="DF356" s="849"/>
      <c r="DG356" s="849"/>
      <c r="DH356" s="849"/>
      <c r="DI356" s="849"/>
      <c r="DJ356" s="849"/>
      <c r="DK356" s="849"/>
      <c r="DL356" s="849"/>
      <c r="DM356" s="849"/>
      <c r="DN356" s="849"/>
      <c r="DO356" s="849"/>
      <c r="DP356" s="849"/>
      <c r="DQ356" s="849"/>
      <c r="DR356" s="849"/>
      <c r="DS356" s="849"/>
      <c r="DT356" s="849"/>
      <c r="DU356" s="849"/>
      <c r="DV356" s="849"/>
      <c r="DW356" s="849"/>
      <c r="DX356" s="849"/>
      <c r="DY356" s="849"/>
      <c r="DZ356" s="849"/>
      <c r="EA356" s="849"/>
      <c r="EB356" s="849"/>
      <c r="EC356" s="849"/>
      <c r="ED356" s="849"/>
      <c r="EE356" s="849"/>
      <c r="EF356" s="849"/>
      <c r="EG356" s="849"/>
      <c r="EH356" s="849"/>
      <c r="EI356" s="849"/>
      <c r="EJ356" s="849"/>
      <c r="EK356" s="849"/>
      <c r="EL356" s="849"/>
      <c r="EM356" s="849"/>
      <c r="EN356" s="849"/>
      <c r="EO356" s="849"/>
      <c r="EP356" s="849"/>
      <c r="EQ356" s="849"/>
      <c r="ER356" s="849"/>
      <c r="ES356" s="849"/>
      <c r="ET356" s="849"/>
      <c r="EU356" s="849"/>
      <c r="EV356" s="849"/>
      <c r="EW356" s="849"/>
      <c r="EX356" s="849"/>
      <c r="EY356" s="849"/>
      <c r="EZ356" s="849"/>
      <c r="FA356" s="849"/>
      <c r="FB356" s="849"/>
      <c r="FC356" s="849"/>
      <c r="FD356" s="849"/>
      <c r="FE356" s="849"/>
      <c r="FF356" s="849"/>
      <c r="FG356" s="849"/>
      <c r="FH356" s="849"/>
      <c r="FI356" s="849"/>
      <c r="FJ356" s="849"/>
      <c r="FK356" s="849"/>
      <c r="FL356" s="849"/>
      <c r="FM356" s="849"/>
      <c r="FN356" s="849"/>
      <c r="FO356" s="849"/>
      <c r="FP356" s="849"/>
      <c r="FQ356" s="849"/>
      <c r="FR356" s="849"/>
      <c r="FS356" s="849"/>
      <c r="FT356" s="849"/>
      <c r="FU356" s="849"/>
      <c r="FV356" s="849"/>
      <c r="FW356" s="849"/>
      <c r="FX356" s="849"/>
      <c r="FY356" s="849"/>
      <c r="FZ356" s="849"/>
      <c r="GA356" s="849"/>
      <c r="GB356" s="849"/>
      <c r="GC356" s="849"/>
      <c r="GD356" s="849"/>
      <c r="GE356" s="849"/>
      <c r="GF356" s="849"/>
      <c r="GG356" s="849"/>
      <c r="GH356" s="849"/>
      <c r="GI356" s="849"/>
      <c r="GJ356" s="849"/>
      <c r="GK356" s="849"/>
      <c r="GL356" s="849"/>
      <c r="GM356" s="849"/>
      <c r="GN356" s="849"/>
      <c r="GO356" s="849"/>
      <c r="GP356" s="849"/>
      <c r="GQ356" s="849"/>
      <c r="GR356" s="849"/>
      <c r="GS356" s="849"/>
      <c r="GT356" s="849"/>
      <c r="GU356" s="849"/>
      <c r="GV356" s="849"/>
      <c r="GW356" s="849"/>
      <c r="GX356" s="849"/>
      <c r="GY356" s="849"/>
      <c r="GZ356" s="849"/>
      <c r="HA356" s="849"/>
      <c r="HB356" s="849"/>
      <c r="HC356" s="849"/>
      <c r="HD356" s="849"/>
      <c r="HE356" s="849"/>
      <c r="HF356" s="849"/>
      <c r="HG356" s="849"/>
      <c r="HH356" s="849"/>
      <c r="HI356" s="849"/>
      <c r="HJ356" s="849"/>
      <c r="HK356" s="849"/>
      <c r="HL356" s="849"/>
      <c r="HM356" s="849"/>
      <c r="HN356" s="849"/>
      <c r="HO356" s="849"/>
      <c r="HP356" s="849"/>
      <c r="HQ356" s="849"/>
      <c r="HR356" s="849"/>
    </row>
    <row r="357" spans="1:226" s="850" customFormat="1" ht="15" customHeight="1">
      <c r="A357" s="1549"/>
      <c r="B357" s="1550"/>
      <c r="C357" s="1550"/>
      <c r="D357" s="1550"/>
      <c r="E357" s="1550"/>
      <c r="F357" s="1550"/>
      <c r="G357" s="1550"/>
      <c r="H357" s="1550"/>
      <c r="I357" s="1550"/>
      <c r="J357" s="1551"/>
      <c r="K357" s="849"/>
    </row>
    <row r="358" spans="1:226" s="850" customFormat="1" ht="24.95" customHeight="1">
      <c r="A358" s="1503" t="s">
        <v>974</v>
      </c>
      <c r="B358" s="1506" t="s">
        <v>1074</v>
      </c>
      <c r="C358" s="1516">
        <v>600</v>
      </c>
      <c r="D358" s="1542" t="s">
        <v>310</v>
      </c>
      <c r="E358" s="846" t="s">
        <v>976</v>
      </c>
      <c r="F358" s="847">
        <f>SUM(F359,F366)</f>
        <v>5666667</v>
      </c>
      <c r="G358" s="847">
        <f>SUM(G359,G366)</f>
        <v>850000</v>
      </c>
      <c r="H358" s="847">
        <f>SUM(H359,H366)</f>
        <v>4816667</v>
      </c>
      <c r="I358" s="847">
        <f>SUM(I359,I366)</f>
        <v>0</v>
      </c>
      <c r="J358" s="848">
        <f>SUM(J359,J366)</f>
        <v>0</v>
      </c>
      <c r="K358" s="849"/>
    </row>
    <row r="359" spans="1:226" s="850" customFormat="1" ht="24.95" customHeight="1">
      <c r="A359" s="1504"/>
      <c r="B359" s="1507"/>
      <c r="C359" s="1541"/>
      <c r="D359" s="1543"/>
      <c r="E359" s="851" t="s">
        <v>383</v>
      </c>
      <c r="F359" s="852">
        <f>SUM(F360,F363)</f>
        <v>0</v>
      </c>
      <c r="G359" s="852">
        <f>SUM(G360,G363)</f>
        <v>0</v>
      </c>
      <c r="H359" s="852">
        <f>SUM(H360,H363)</f>
        <v>0</v>
      </c>
      <c r="I359" s="852">
        <f>SUM(I360,I363)</f>
        <v>0</v>
      </c>
      <c r="J359" s="853">
        <f>SUM(J360,J363)</f>
        <v>0</v>
      </c>
      <c r="K359" s="849"/>
    </row>
    <row r="360" spans="1:226" s="850" customFormat="1" ht="24.95" hidden="1" customHeight="1">
      <c r="A360" s="1504"/>
      <c r="B360" s="1507"/>
      <c r="C360" s="1541"/>
      <c r="D360" s="1543"/>
      <c r="E360" s="860" t="s">
        <v>981</v>
      </c>
      <c r="F360" s="861">
        <f>SUM(F361:F362)</f>
        <v>0</v>
      </c>
      <c r="G360" s="861">
        <f>SUM(G361:G362)</f>
        <v>0</v>
      </c>
      <c r="H360" s="861">
        <f>SUM(H361:H362)</f>
        <v>0</v>
      </c>
      <c r="I360" s="861">
        <f>SUM(I361:I362)</f>
        <v>0</v>
      </c>
      <c r="J360" s="862">
        <f>SUM(J361:J362)</f>
        <v>0</v>
      </c>
      <c r="K360" s="849"/>
    </row>
    <row r="361" spans="1:226" s="850" customFormat="1" ht="15" hidden="1" customHeight="1">
      <c r="A361" s="1504"/>
      <c r="B361" s="1507"/>
      <c r="C361" s="1541"/>
      <c r="D361" s="1543"/>
      <c r="E361" s="855"/>
      <c r="F361" s="856">
        <f>SUM(G361:J361)</f>
        <v>0</v>
      </c>
      <c r="G361" s="856"/>
      <c r="H361" s="856"/>
      <c r="I361" s="856"/>
      <c r="J361" s="857"/>
      <c r="K361" s="849"/>
    </row>
    <row r="362" spans="1:226" s="850" customFormat="1" ht="15" hidden="1" customHeight="1">
      <c r="A362" s="1504"/>
      <c r="B362" s="1507"/>
      <c r="C362" s="1541"/>
      <c r="D362" s="1543"/>
      <c r="E362" s="855"/>
      <c r="F362" s="856">
        <f>SUM(G362:J362)</f>
        <v>0</v>
      </c>
      <c r="G362" s="856"/>
      <c r="H362" s="856"/>
      <c r="I362" s="856"/>
      <c r="J362" s="857"/>
      <c r="K362" s="849"/>
    </row>
    <row r="363" spans="1:226" s="850" customFormat="1" ht="24.95" hidden="1" customHeight="1">
      <c r="A363" s="1504"/>
      <c r="B363" s="1507"/>
      <c r="C363" s="1541"/>
      <c r="D363" s="1543"/>
      <c r="E363" s="860" t="s">
        <v>982</v>
      </c>
      <c r="F363" s="861">
        <f>SUM(F364:F365)</f>
        <v>0</v>
      </c>
      <c r="G363" s="861">
        <f>SUM(G364:G365)</f>
        <v>0</v>
      </c>
      <c r="H363" s="861">
        <f>SUM(H364:H365)</f>
        <v>0</v>
      </c>
      <c r="I363" s="861">
        <f>SUM(I364:I365)</f>
        <v>0</v>
      </c>
      <c r="J363" s="862">
        <f>SUM(J364:J365)</f>
        <v>0</v>
      </c>
      <c r="K363" s="849"/>
    </row>
    <row r="364" spans="1:226" s="850" customFormat="1" ht="15" hidden="1" customHeight="1">
      <c r="A364" s="1504"/>
      <c r="B364" s="1507"/>
      <c r="C364" s="1541"/>
      <c r="D364" s="1543"/>
      <c r="E364" s="855"/>
      <c r="F364" s="856">
        <f>SUM(G364:J364)</f>
        <v>0</v>
      </c>
      <c r="G364" s="856"/>
      <c r="H364" s="856"/>
      <c r="I364" s="856"/>
      <c r="J364" s="857"/>
      <c r="K364" s="849"/>
    </row>
    <row r="365" spans="1:226" s="850" customFormat="1" ht="15" hidden="1" customHeight="1">
      <c r="A365" s="1504"/>
      <c r="B365" s="1507"/>
      <c r="C365" s="1541"/>
      <c r="D365" s="1543"/>
      <c r="E365" s="855"/>
      <c r="F365" s="856">
        <f>SUM(G365:J365)</f>
        <v>0</v>
      </c>
      <c r="G365" s="856"/>
      <c r="H365" s="856"/>
      <c r="I365" s="856"/>
      <c r="J365" s="857"/>
      <c r="K365" s="849"/>
    </row>
    <row r="366" spans="1:226" s="850" customFormat="1" ht="24.95" customHeight="1">
      <c r="A366" s="1504"/>
      <c r="B366" s="1507"/>
      <c r="C366" s="1541"/>
      <c r="D366" s="1543"/>
      <c r="E366" s="858" t="s">
        <v>977</v>
      </c>
      <c r="F366" s="852">
        <f>SUM(F367:F369)</f>
        <v>5666667</v>
      </c>
      <c r="G366" s="852">
        <f>SUM(G367:G369)</f>
        <v>850000</v>
      </c>
      <c r="H366" s="852">
        <f>SUM(H367:H369)</f>
        <v>4816667</v>
      </c>
      <c r="I366" s="852">
        <f>SUM(I367:I369)</f>
        <v>0</v>
      </c>
      <c r="J366" s="853">
        <f>SUM(J367:J369)</f>
        <v>0</v>
      </c>
      <c r="K366" s="849"/>
    </row>
    <row r="367" spans="1:226" s="849" customFormat="1" ht="15" hidden="1" customHeight="1">
      <c r="A367" s="1504"/>
      <c r="B367" s="1507"/>
      <c r="C367" s="1541"/>
      <c r="D367" s="1543"/>
      <c r="E367" s="855" t="s">
        <v>204</v>
      </c>
      <c r="F367" s="856">
        <f>SUM(G367:J367)</f>
        <v>0</v>
      </c>
      <c r="G367" s="856"/>
      <c r="H367" s="856"/>
      <c r="I367" s="856"/>
      <c r="J367" s="857"/>
    </row>
    <row r="368" spans="1:226" s="850" customFormat="1" ht="15" customHeight="1">
      <c r="A368" s="1504"/>
      <c r="B368" s="1507"/>
      <c r="C368" s="1541"/>
      <c r="D368" s="1543"/>
      <c r="E368" s="855" t="s">
        <v>316</v>
      </c>
      <c r="F368" s="856">
        <f>SUM(G368:J368)</f>
        <v>4816667</v>
      </c>
      <c r="G368" s="856"/>
      <c r="H368" s="856">
        <v>4816667</v>
      </c>
      <c r="I368" s="856"/>
      <c r="J368" s="857"/>
      <c r="K368" s="849"/>
      <c r="L368" s="849"/>
      <c r="M368" s="849"/>
      <c r="N368" s="849"/>
      <c r="O368" s="849"/>
      <c r="P368" s="849"/>
      <c r="Q368" s="849"/>
      <c r="R368" s="849"/>
      <c r="S368" s="849"/>
      <c r="T368" s="849"/>
      <c r="U368" s="849"/>
      <c r="V368" s="849"/>
      <c r="W368" s="849"/>
      <c r="X368" s="849"/>
      <c r="Y368" s="849"/>
      <c r="Z368" s="849"/>
      <c r="AA368" s="849"/>
      <c r="AB368" s="849"/>
      <c r="AC368" s="849"/>
      <c r="AD368" s="849"/>
      <c r="AE368" s="849"/>
      <c r="AF368" s="849"/>
      <c r="AG368" s="849"/>
      <c r="AH368" s="849"/>
      <c r="AI368" s="849"/>
      <c r="AJ368" s="849"/>
      <c r="AK368" s="849"/>
      <c r="AL368" s="849"/>
      <c r="AM368" s="849"/>
      <c r="AN368" s="849"/>
      <c r="AO368" s="849"/>
      <c r="AP368" s="849"/>
      <c r="AQ368" s="849"/>
      <c r="AR368" s="849"/>
      <c r="AS368" s="849"/>
      <c r="AT368" s="849"/>
      <c r="AU368" s="849"/>
      <c r="AV368" s="849"/>
      <c r="AW368" s="849"/>
      <c r="AX368" s="849"/>
      <c r="AY368" s="849"/>
      <c r="AZ368" s="849"/>
      <c r="BA368" s="849"/>
      <c r="BB368" s="849"/>
      <c r="BC368" s="849"/>
      <c r="BD368" s="849"/>
      <c r="BE368" s="849"/>
      <c r="BF368" s="849"/>
      <c r="BG368" s="849"/>
      <c r="BH368" s="849"/>
      <c r="BI368" s="849"/>
      <c r="BJ368" s="849"/>
      <c r="BK368" s="849"/>
      <c r="BL368" s="849"/>
      <c r="BM368" s="849"/>
      <c r="BN368" s="849"/>
      <c r="BO368" s="849"/>
      <c r="BP368" s="849"/>
      <c r="BQ368" s="849"/>
      <c r="BR368" s="849"/>
      <c r="BS368" s="849"/>
      <c r="BT368" s="849"/>
      <c r="BU368" s="849"/>
      <c r="BV368" s="849"/>
      <c r="BW368" s="849"/>
      <c r="BX368" s="849"/>
      <c r="BY368" s="849"/>
      <c r="BZ368" s="849"/>
      <c r="CA368" s="849"/>
      <c r="CB368" s="849"/>
      <c r="CC368" s="849"/>
      <c r="CD368" s="849"/>
      <c r="CE368" s="849"/>
      <c r="CF368" s="849"/>
      <c r="CG368" s="849"/>
      <c r="CH368" s="849"/>
      <c r="CI368" s="849"/>
      <c r="CJ368" s="849"/>
      <c r="CK368" s="849"/>
      <c r="CL368" s="849"/>
      <c r="CM368" s="849"/>
      <c r="CN368" s="849"/>
      <c r="CO368" s="849"/>
      <c r="CP368" s="849"/>
      <c r="CQ368" s="849"/>
      <c r="CR368" s="849"/>
      <c r="CS368" s="849"/>
      <c r="CT368" s="849"/>
      <c r="CU368" s="849"/>
      <c r="CV368" s="849"/>
      <c r="CW368" s="849"/>
      <c r="CX368" s="849"/>
      <c r="CY368" s="849"/>
      <c r="CZ368" s="849"/>
      <c r="DA368" s="849"/>
      <c r="DB368" s="849"/>
      <c r="DC368" s="849"/>
      <c r="DD368" s="849"/>
      <c r="DE368" s="849"/>
      <c r="DF368" s="849"/>
      <c r="DG368" s="849"/>
      <c r="DH368" s="849"/>
      <c r="DI368" s="849"/>
      <c r="DJ368" s="849"/>
      <c r="DK368" s="849"/>
      <c r="DL368" s="849"/>
      <c r="DM368" s="849"/>
      <c r="DN368" s="849"/>
      <c r="DO368" s="849"/>
      <c r="DP368" s="849"/>
      <c r="DQ368" s="849"/>
      <c r="DR368" s="849"/>
      <c r="DS368" s="849"/>
      <c r="DT368" s="849"/>
      <c r="DU368" s="849"/>
      <c r="DV368" s="849"/>
      <c r="DW368" s="849"/>
      <c r="DX368" s="849"/>
      <c r="DY368" s="849"/>
      <c r="DZ368" s="849"/>
      <c r="EA368" s="849"/>
      <c r="EB368" s="849"/>
      <c r="EC368" s="849"/>
      <c r="ED368" s="849"/>
      <c r="EE368" s="849"/>
      <c r="EF368" s="849"/>
      <c r="EG368" s="849"/>
      <c r="EH368" s="849"/>
      <c r="EI368" s="849"/>
      <c r="EJ368" s="849"/>
      <c r="EK368" s="849"/>
      <c r="EL368" s="849"/>
      <c r="EM368" s="849"/>
      <c r="EN368" s="849"/>
      <c r="EO368" s="849"/>
      <c r="EP368" s="849"/>
      <c r="EQ368" s="849"/>
      <c r="ER368" s="849"/>
      <c r="ES368" s="849"/>
      <c r="ET368" s="849"/>
      <c r="EU368" s="849"/>
      <c r="EV368" s="849"/>
      <c r="EW368" s="849"/>
      <c r="EX368" s="849"/>
      <c r="EY368" s="849"/>
      <c r="EZ368" s="849"/>
      <c r="FA368" s="849"/>
      <c r="FB368" s="849"/>
      <c r="FC368" s="849"/>
      <c r="FD368" s="849"/>
      <c r="FE368" s="849"/>
      <c r="FF368" s="849"/>
      <c r="FG368" s="849"/>
      <c r="FH368" s="849"/>
      <c r="FI368" s="849"/>
      <c r="FJ368" s="849"/>
      <c r="FK368" s="849"/>
      <c r="FL368" s="849"/>
      <c r="FM368" s="849"/>
      <c r="FN368" s="849"/>
      <c r="FO368" s="849"/>
      <c r="FP368" s="849"/>
      <c r="FQ368" s="849"/>
      <c r="FR368" s="849"/>
      <c r="FS368" s="849"/>
      <c r="FT368" s="849"/>
      <c r="FU368" s="849"/>
      <c r="FV368" s="849"/>
      <c r="FW368" s="849"/>
      <c r="FX368" s="849"/>
      <c r="FY368" s="849"/>
      <c r="FZ368" s="849"/>
      <c r="GA368" s="849"/>
      <c r="GB368" s="849"/>
      <c r="GC368" s="849"/>
      <c r="GD368" s="849"/>
      <c r="GE368" s="849"/>
      <c r="GF368" s="849"/>
      <c r="GG368" s="849"/>
      <c r="GH368" s="849"/>
      <c r="GI368" s="849"/>
      <c r="GJ368" s="849"/>
      <c r="GK368" s="849"/>
      <c r="GL368" s="849"/>
      <c r="GM368" s="849"/>
      <c r="GN368" s="849"/>
      <c r="GO368" s="849"/>
      <c r="GP368" s="849"/>
      <c r="GQ368" s="849"/>
      <c r="GR368" s="849"/>
      <c r="GS368" s="849"/>
      <c r="GT368" s="849"/>
      <c r="GU368" s="849"/>
      <c r="GV368" s="849"/>
      <c r="GW368" s="849"/>
      <c r="GX368" s="849"/>
      <c r="GY368" s="849"/>
      <c r="GZ368" s="849"/>
      <c r="HA368" s="849"/>
      <c r="HB368" s="849"/>
      <c r="HC368" s="849"/>
      <c r="HD368" s="849"/>
      <c r="HE368" s="849"/>
      <c r="HF368" s="849"/>
      <c r="HG368" s="849"/>
      <c r="HH368" s="849"/>
      <c r="HI368" s="849"/>
      <c r="HJ368" s="849"/>
      <c r="HK368" s="849"/>
      <c r="HL368" s="849"/>
      <c r="HM368" s="849"/>
      <c r="HN368" s="849"/>
      <c r="HO368" s="849"/>
      <c r="HP368" s="849"/>
      <c r="HQ368" s="849"/>
      <c r="HR368" s="849"/>
    </row>
    <row r="369" spans="1:226" s="850" customFormat="1" ht="15" customHeight="1">
      <c r="A369" s="1505"/>
      <c r="B369" s="1508"/>
      <c r="C369" s="1517"/>
      <c r="D369" s="1544"/>
      <c r="E369" s="897">
        <v>6059</v>
      </c>
      <c r="F369" s="856">
        <f>SUM(G369:J369)</f>
        <v>850000</v>
      </c>
      <c r="G369" s="856">
        <v>850000</v>
      </c>
      <c r="H369" s="856"/>
      <c r="I369" s="856"/>
      <c r="J369" s="857"/>
      <c r="K369" s="849"/>
    </row>
    <row r="370" spans="1:226" s="850" customFormat="1" ht="24.95" customHeight="1">
      <c r="A370" s="1503" t="s">
        <v>979</v>
      </c>
      <c r="B370" s="1506" t="s">
        <v>1028</v>
      </c>
      <c r="C370" s="1516">
        <v>600</v>
      </c>
      <c r="D370" s="1542" t="s">
        <v>310</v>
      </c>
      <c r="E370" s="846" t="s">
        <v>976</v>
      </c>
      <c r="F370" s="847">
        <f>SUM(F371,F378)</f>
        <v>13250000</v>
      </c>
      <c r="G370" s="847">
        <f>SUM(G371,G378)</f>
        <v>1500000</v>
      </c>
      <c r="H370" s="847">
        <f>SUM(H371,H378)</f>
        <v>8500000</v>
      </c>
      <c r="I370" s="847">
        <f>SUM(I371,I378)</f>
        <v>0</v>
      </c>
      <c r="J370" s="848">
        <f>SUM(J371,J378)</f>
        <v>3250000</v>
      </c>
      <c r="K370" s="849"/>
    </row>
    <row r="371" spans="1:226" s="850" customFormat="1" ht="24.95" customHeight="1">
      <c r="A371" s="1504"/>
      <c r="B371" s="1507"/>
      <c r="C371" s="1541"/>
      <c r="D371" s="1543"/>
      <c r="E371" s="851" t="s">
        <v>383</v>
      </c>
      <c r="F371" s="852">
        <f>SUM(F372,F375)</f>
        <v>0</v>
      </c>
      <c r="G371" s="852">
        <f>SUM(G372,G375)</f>
        <v>0</v>
      </c>
      <c r="H371" s="852">
        <f>SUM(H372,H375)</f>
        <v>0</v>
      </c>
      <c r="I371" s="852">
        <f>SUM(I372,I375)</f>
        <v>0</v>
      </c>
      <c r="J371" s="853">
        <f>SUM(J372,J375)</f>
        <v>0</v>
      </c>
      <c r="K371" s="849"/>
    </row>
    <row r="372" spans="1:226" s="850" customFormat="1" ht="24.95" hidden="1" customHeight="1">
      <c r="A372" s="1504"/>
      <c r="B372" s="1507"/>
      <c r="C372" s="1541"/>
      <c r="D372" s="1543"/>
      <c r="E372" s="860" t="s">
        <v>981</v>
      </c>
      <c r="F372" s="861">
        <f>SUM(F373:F374)</f>
        <v>0</v>
      </c>
      <c r="G372" s="861">
        <f>SUM(G373:G374)</f>
        <v>0</v>
      </c>
      <c r="H372" s="861">
        <f>SUM(H373:H374)</f>
        <v>0</v>
      </c>
      <c r="I372" s="861">
        <f>SUM(I373:I374)</f>
        <v>0</v>
      </c>
      <c r="J372" s="862">
        <f>SUM(J373:J374)</f>
        <v>0</v>
      </c>
      <c r="K372" s="849"/>
    </row>
    <row r="373" spans="1:226" s="850" customFormat="1" ht="15" hidden="1" customHeight="1">
      <c r="A373" s="1504"/>
      <c r="B373" s="1507"/>
      <c r="C373" s="1541"/>
      <c r="D373" s="1543"/>
      <c r="E373" s="855"/>
      <c r="F373" s="856">
        <f>SUM(G373:J373)</f>
        <v>0</v>
      </c>
      <c r="G373" s="856"/>
      <c r="H373" s="856"/>
      <c r="I373" s="856"/>
      <c r="J373" s="857"/>
      <c r="K373" s="849"/>
    </row>
    <row r="374" spans="1:226" s="850" customFormat="1" ht="15" hidden="1" customHeight="1">
      <c r="A374" s="1504"/>
      <c r="B374" s="1507"/>
      <c r="C374" s="1541"/>
      <c r="D374" s="1543"/>
      <c r="E374" s="855"/>
      <c r="F374" s="856">
        <f>SUM(G374:J374)</f>
        <v>0</v>
      </c>
      <c r="G374" s="856"/>
      <c r="H374" s="856"/>
      <c r="I374" s="856"/>
      <c r="J374" s="857"/>
      <c r="K374" s="849"/>
    </row>
    <row r="375" spans="1:226" s="850" customFormat="1" ht="24.95" hidden="1" customHeight="1">
      <c r="A375" s="1504"/>
      <c r="B375" s="1507"/>
      <c r="C375" s="1541"/>
      <c r="D375" s="1543"/>
      <c r="E375" s="860" t="s">
        <v>982</v>
      </c>
      <c r="F375" s="861">
        <f>SUM(F376:F377)</f>
        <v>0</v>
      </c>
      <c r="G375" s="861">
        <f>SUM(G376:G377)</f>
        <v>0</v>
      </c>
      <c r="H375" s="861">
        <f>SUM(H376:H377)</f>
        <v>0</v>
      </c>
      <c r="I375" s="861">
        <f>SUM(I376:I377)</f>
        <v>0</v>
      </c>
      <c r="J375" s="862">
        <f>SUM(J376:J377)</f>
        <v>0</v>
      </c>
      <c r="K375" s="849"/>
    </row>
    <row r="376" spans="1:226" s="850" customFormat="1" ht="15" hidden="1" customHeight="1">
      <c r="A376" s="1504"/>
      <c r="B376" s="1507"/>
      <c r="C376" s="1541"/>
      <c r="D376" s="1543"/>
      <c r="E376" s="855"/>
      <c r="F376" s="856">
        <f>SUM(G376:J376)</f>
        <v>0</v>
      </c>
      <c r="G376" s="856"/>
      <c r="H376" s="856"/>
      <c r="I376" s="856"/>
      <c r="J376" s="857"/>
      <c r="K376" s="849"/>
    </row>
    <row r="377" spans="1:226" s="850" customFormat="1" ht="15" hidden="1" customHeight="1">
      <c r="A377" s="1504"/>
      <c r="B377" s="1507"/>
      <c r="C377" s="1541"/>
      <c r="D377" s="1543"/>
      <c r="E377" s="855"/>
      <c r="F377" s="856">
        <f>SUM(G377:J377)</f>
        <v>0</v>
      </c>
      <c r="G377" s="856"/>
      <c r="H377" s="856"/>
      <c r="I377" s="856"/>
      <c r="J377" s="857"/>
      <c r="K377" s="849"/>
    </row>
    <row r="378" spans="1:226" s="850" customFormat="1" ht="24.95" customHeight="1">
      <c r="A378" s="1504"/>
      <c r="B378" s="1507"/>
      <c r="C378" s="1541"/>
      <c r="D378" s="1543"/>
      <c r="E378" s="858" t="s">
        <v>977</v>
      </c>
      <c r="F378" s="852">
        <f>SUM(F379:F383)</f>
        <v>13250000</v>
      </c>
      <c r="G378" s="852">
        <f>SUM(G379:G383)</f>
        <v>1500000</v>
      </c>
      <c r="H378" s="852">
        <f>SUM(H379:H383)</f>
        <v>8500000</v>
      </c>
      <c r="I378" s="852">
        <f>SUM(I379:I383)</f>
        <v>0</v>
      </c>
      <c r="J378" s="853">
        <f>SUM(J379:J383)</f>
        <v>3250000</v>
      </c>
      <c r="K378" s="849"/>
    </row>
    <row r="379" spans="1:226" s="849" customFormat="1" ht="15" customHeight="1">
      <c r="A379" s="1504"/>
      <c r="B379" s="1507"/>
      <c r="C379" s="1541"/>
      <c r="D379" s="1543"/>
      <c r="E379" s="855" t="s">
        <v>204</v>
      </c>
      <c r="F379" s="856">
        <f>SUM(G379:J379)</f>
        <v>3250000</v>
      </c>
      <c r="G379" s="856"/>
      <c r="H379" s="856"/>
      <c r="I379" s="856"/>
      <c r="J379" s="857">
        <v>3250000</v>
      </c>
    </row>
    <row r="380" spans="1:226" s="850" customFormat="1" ht="15" customHeight="1">
      <c r="A380" s="1504"/>
      <c r="B380" s="1507"/>
      <c r="C380" s="1541"/>
      <c r="D380" s="1543"/>
      <c r="E380" s="855" t="s">
        <v>316</v>
      </c>
      <c r="F380" s="856">
        <f>SUM(G380:J380)</f>
        <v>8500000</v>
      </c>
      <c r="G380" s="856"/>
      <c r="H380" s="856">
        <v>8500000</v>
      </c>
      <c r="I380" s="856"/>
      <c r="J380" s="857"/>
      <c r="K380" s="849"/>
      <c r="L380" s="849"/>
      <c r="M380" s="849"/>
      <c r="N380" s="849"/>
      <c r="O380" s="849"/>
      <c r="P380" s="849"/>
      <c r="Q380" s="849"/>
      <c r="R380" s="849"/>
      <c r="S380" s="849"/>
      <c r="T380" s="849"/>
      <c r="U380" s="849"/>
      <c r="V380" s="849"/>
      <c r="W380" s="849"/>
      <c r="X380" s="849"/>
      <c r="Y380" s="849"/>
      <c r="Z380" s="849"/>
      <c r="AA380" s="849"/>
      <c r="AB380" s="849"/>
      <c r="AC380" s="849"/>
      <c r="AD380" s="849"/>
      <c r="AE380" s="849"/>
      <c r="AF380" s="849"/>
      <c r="AG380" s="849"/>
      <c r="AH380" s="849"/>
      <c r="AI380" s="849"/>
      <c r="AJ380" s="849"/>
      <c r="AK380" s="849"/>
      <c r="AL380" s="849"/>
      <c r="AM380" s="849"/>
      <c r="AN380" s="849"/>
      <c r="AO380" s="849"/>
      <c r="AP380" s="849"/>
      <c r="AQ380" s="849"/>
      <c r="AR380" s="849"/>
      <c r="AS380" s="849"/>
      <c r="AT380" s="849"/>
      <c r="AU380" s="849"/>
      <c r="AV380" s="849"/>
      <c r="AW380" s="849"/>
      <c r="AX380" s="849"/>
      <c r="AY380" s="849"/>
      <c r="AZ380" s="849"/>
      <c r="BA380" s="849"/>
      <c r="BB380" s="849"/>
      <c r="BC380" s="849"/>
      <c r="BD380" s="849"/>
      <c r="BE380" s="849"/>
      <c r="BF380" s="849"/>
      <c r="BG380" s="849"/>
      <c r="BH380" s="849"/>
      <c r="BI380" s="849"/>
      <c r="BJ380" s="849"/>
      <c r="BK380" s="849"/>
      <c r="BL380" s="849"/>
      <c r="BM380" s="849"/>
      <c r="BN380" s="849"/>
      <c r="BO380" s="849"/>
      <c r="BP380" s="849"/>
      <c r="BQ380" s="849"/>
      <c r="BR380" s="849"/>
      <c r="BS380" s="849"/>
      <c r="BT380" s="849"/>
      <c r="BU380" s="849"/>
      <c r="BV380" s="849"/>
      <c r="BW380" s="849"/>
      <c r="BX380" s="849"/>
      <c r="BY380" s="849"/>
      <c r="BZ380" s="849"/>
      <c r="CA380" s="849"/>
      <c r="CB380" s="849"/>
      <c r="CC380" s="849"/>
      <c r="CD380" s="849"/>
      <c r="CE380" s="849"/>
      <c r="CF380" s="849"/>
      <c r="CG380" s="849"/>
      <c r="CH380" s="849"/>
      <c r="CI380" s="849"/>
      <c r="CJ380" s="849"/>
      <c r="CK380" s="849"/>
      <c r="CL380" s="849"/>
      <c r="CM380" s="849"/>
      <c r="CN380" s="849"/>
      <c r="CO380" s="849"/>
      <c r="CP380" s="849"/>
      <c r="CQ380" s="849"/>
      <c r="CR380" s="849"/>
      <c r="CS380" s="849"/>
      <c r="CT380" s="849"/>
      <c r="CU380" s="849"/>
      <c r="CV380" s="849"/>
      <c r="CW380" s="849"/>
      <c r="CX380" s="849"/>
      <c r="CY380" s="849"/>
      <c r="CZ380" s="849"/>
      <c r="DA380" s="849"/>
      <c r="DB380" s="849"/>
      <c r="DC380" s="849"/>
      <c r="DD380" s="849"/>
      <c r="DE380" s="849"/>
      <c r="DF380" s="849"/>
      <c r="DG380" s="849"/>
      <c r="DH380" s="849"/>
      <c r="DI380" s="849"/>
      <c r="DJ380" s="849"/>
      <c r="DK380" s="849"/>
      <c r="DL380" s="849"/>
      <c r="DM380" s="849"/>
      <c r="DN380" s="849"/>
      <c r="DO380" s="849"/>
      <c r="DP380" s="849"/>
      <c r="DQ380" s="849"/>
      <c r="DR380" s="849"/>
      <c r="DS380" s="849"/>
      <c r="DT380" s="849"/>
      <c r="DU380" s="849"/>
      <c r="DV380" s="849"/>
      <c r="DW380" s="849"/>
      <c r="DX380" s="849"/>
      <c r="DY380" s="849"/>
      <c r="DZ380" s="849"/>
      <c r="EA380" s="849"/>
      <c r="EB380" s="849"/>
      <c r="EC380" s="849"/>
      <c r="ED380" s="849"/>
      <c r="EE380" s="849"/>
      <c r="EF380" s="849"/>
      <c r="EG380" s="849"/>
      <c r="EH380" s="849"/>
      <c r="EI380" s="849"/>
      <c r="EJ380" s="849"/>
      <c r="EK380" s="849"/>
      <c r="EL380" s="849"/>
      <c r="EM380" s="849"/>
      <c r="EN380" s="849"/>
      <c r="EO380" s="849"/>
      <c r="EP380" s="849"/>
      <c r="EQ380" s="849"/>
      <c r="ER380" s="849"/>
      <c r="ES380" s="849"/>
      <c r="ET380" s="849"/>
      <c r="EU380" s="849"/>
      <c r="EV380" s="849"/>
      <c r="EW380" s="849"/>
      <c r="EX380" s="849"/>
      <c r="EY380" s="849"/>
      <c r="EZ380" s="849"/>
      <c r="FA380" s="849"/>
      <c r="FB380" s="849"/>
      <c r="FC380" s="849"/>
      <c r="FD380" s="849"/>
      <c r="FE380" s="849"/>
      <c r="FF380" s="849"/>
      <c r="FG380" s="849"/>
      <c r="FH380" s="849"/>
      <c r="FI380" s="849"/>
      <c r="FJ380" s="849"/>
      <c r="FK380" s="849"/>
      <c r="FL380" s="849"/>
      <c r="FM380" s="849"/>
      <c r="FN380" s="849"/>
      <c r="FO380" s="849"/>
      <c r="FP380" s="849"/>
      <c r="FQ380" s="849"/>
      <c r="FR380" s="849"/>
      <c r="FS380" s="849"/>
      <c r="FT380" s="849"/>
      <c r="FU380" s="849"/>
      <c r="FV380" s="849"/>
      <c r="FW380" s="849"/>
      <c r="FX380" s="849"/>
      <c r="FY380" s="849"/>
      <c r="FZ380" s="849"/>
      <c r="GA380" s="849"/>
      <c r="GB380" s="849"/>
      <c r="GC380" s="849"/>
      <c r="GD380" s="849"/>
      <c r="GE380" s="849"/>
      <c r="GF380" s="849"/>
      <c r="GG380" s="849"/>
      <c r="GH380" s="849"/>
      <c r="GI380" s="849"/>
      <c r="GJ380" s="849"/>
      <c r="GK380" s="849"/>
      <c r="GL380" s="849"/>
      <c r="GM380" s="849"/>
      <c r="GN380" s="849"/>
      <c r="GO380" s="849"/>
      <c r="GP380" s="849"/>
      <c r="GQ380" s="849"/>
      <c r="GR380" s="849"/>
      <c r="GS380" s="849"/>
      <c r="GT380" s="849"/>
      <c r="GU380" s="849"/>
      <c r="GV380" s="849"/>
      <c r="GW380" s="849"/>
      <c r="GX380" s="849"/>
      <c r="GY380" s="849"/>
      <c r="GZ380" s="849"/>
      <c r="HA380" s="849"/>
      <c r="HB380" s="849"/>
      <c r="HC380" s="849"/>
      <c r="HD380" s="849"/>
      <c r="HE380" s="849"/>
      <c r="HF380" s="849"/>
      <c r="HG380" s="849"/>
      <c r="HH380" s="849"/>
      <c r="HI380" s="849"/>
      <c r="HJ380" s="849"/>
      <c r="HK380" s="849"/>
      <c r="HL380" s="849"/>
      <c r="HM380" s="849"/>
      <c r="HN380" s="849"/>
      <c r="HO380" s="849"/>
      <c r="HP380" s="849"/>
      <c r="HQ380" s="849"/>
      <c r="HR380" s="849"/>
    </row>
    <row r="381" spans="1:226" s="850" customFormat="1" ht="15" customHeight="1">
      <c r="A381" s="1504"/>
      <c r="B381" s="1507"/>
      <c r="C381" s="1541"/>
      <c r="D381" s="1543"/>
      <c r="E381" s="910">
        <v>6059</v>
      </c>
      <c r="F381" s="911">
        <f>SUM(G381:J381)</f>
        <v>1500000</v>
      </c>
      <c r="G381" s="911">
        <v>1500000</v>
      </c>
      <c r="H381" s="911"/>
      <c r="I381" s="911"/>
      <c r="J381" s="912"/>
      <c r="K381" s="849"/>
    </row>
    <row r="382" spans="1:226" s="850" customFormat="1" ht="15" hidden="1" customHeight="1">
      <c r="A382" s="1504"/>
      <c r="B382" s="1507"/>
      <c r="C382" s="1541"/>
      <c r="D382" s="1543"/>
      <c r="E382" s="859" t="s">
        <v>303</v>
      </c>
      <c r="F382" s="911">
        <f>SUM(G382:J382)</f>
        <v>0</v>
      </c>
      <c r="G382" s="911"/>
      <c r="H382" s="911"/>
      <c r="I382" s="911"/>
      <c r="J382" s="912"/>
      <c r="K382" s="849"/>
    </row>
    <row r="383" spans="1:226" s="850" customFormat="1" ht="15" hidden="1" customHeight="1">
      <c r="A383" s="1505"/>
      <c r="B383" s="1508"/>
      <c r="C383" s="1517"/>
      <c r="D383" s="1544"/>
      <c r="E383" s="897">
        <v>6069</v>
      </c>
      <c r="F383" s="911">
        <f>SUM(G383:J383)</f>
        <v>0</v>
      </c>
      <c r="G383" s="911"/>
      <c r="H383" s="911"/>
      <c r="I383" s="911"/>
      <c r="J383" s="912"/>
      <c r="K383" s="849"/>
    </row>
    <row r="384" spans="1:226" s="850" customFormat="1" ht="24.95" customHeight="1">
      <c r="A384" s="1503" t="s">
        <v>996</v>
      </c>
      <c r="B384" s="1506" t="s">
        <v>1075</v>
      </c>
      <c r="C384" s="1516">
        <v>600</v>
      </c>
      <c r="D384" s="1542" t="s">
        <v>310</v>
      </c>
      <c r="E384" s="846" t="s">
        <v>976</v>
      </c>
      <c r="F384" s="847">
        <f>SUM(F385,F392)</f>
        <v>600000</v>
      </c>
      <c r="G384" s="847">
        <f>SUM(G385,G392)</f>
        <v>90000</v>
      </c>
      <c r="H384" s="847">
        <f>SUM(H385,H392)</f>
        <v>510000</v>
      </c>
      <c r="I384" s="847">
        <f>SUM(I385,I392)</f>
        <v>0</v>
      </c>
      <c r="J384" s="848">
        <f>SUM(J385,J392)</f>
        <v>0</v>
      </c>
      <c r="K384" s="849"/>
    </row>
    <row r="385" spans="1:226" s="850" customFormat="1" ht="24.95" customHeight="1">
      <c r="A385" s="1504"/>
      <c r="B385" s="1507"/>
      <c r="C385" s="1541"/>
      <c r="D385" s="1543"/>
      <c r="E385" s="851" t="s">
        <v>383</v>
      </c>
      <c r="F385" s="852">
        <f>SUM(F386,F389)</f>
        <v>0</v>
      </c>
      <c r="G385" s="852">
        <f>SUM(G386,G389)</f>
        <v>0</v>
      </c>
      <c r="H385" s="852">
        <f>SUM(H386,H389)</f>
        <v>0</v>
      </c>
      <c r="I385" s="852">
        <f>SUM(I386,I389)</f>
        <v>0</v>
      </c>
      <c r="J385" s="853">
        <f>SUM(J386,J389)</f>
        <v>0</v>
      </c>
      <c r="K385" s="849"/>
    </row>
    <row r="386" spans="1:226" s="850" customFormat="1" ht="24.95" hidden="1" customHeight="1">
      <c r="A386" s="1504"/>
      <c r="B386" s="1507"/>
      <c r="C386" s="1541"/>
      <c r="D386" s="1543"/>
      <c r="E386" s="860" t="s">
        <v>981</v>
      </c>
      <c r="F386" s="861">
        <f>SUM(F387:F388)</f>
        <v>0</v>
      </c>
      <c r="G386" s="861">
        <f>SUM(G387:G388)</f>
        <v>0</v>
      </c>
      <c r="H386" s="861">
        <f>SUM(H387:H388)</f>
        <v>0</v>
      </c>
      <c r="I386" s="861">
        <f>SUM(I387:I388)</f>
        <v>0</v>
      </c>
      <c r="J386" s="862">
        <f>SUM(J387:J388)</f>
        <v>0</v>
      </c>
      <c r="K386" s="849"/>
    </row>
    <row r="387" spans="1:226" s="850" customFormat="1" ht="15" hidden="1" customHeight="1">
      <c r="A387" s="1504"/>
      <c r="B387" s="1507"/>
      <c r="C387" s="1541"/>
      <c r="D387" s="1543"/>
      <c r="E387" s="855"/>
      <c r="F387" s="856">
        <f>SUM(G387:J387)</f>
        <v>0</v>
      </c>
      <c r="G387" s="856"/>
      <c r="H387" s="856"/>
      <c r="I387" s="856"/>
      <c r="J387" s="857"/>
      <c r="K387" s="849"/>
    </row>
    <row r="388" spans="1:226" s="850" customFormat="1" ht="15" hidden="1" customHeight="1">
      <c r="A388" s="1504"/>
      <c r="B388" s="1507"/>
      <c r="C388" s="1541"/>
      <c r="D388" s="1543"/>
      <c r="E388" s="855"/>
      <c r="F388" s="856">
        <f>SUM(G388:J388)</f>
        <v>0</v>
      </c>
      <c r="G388" s="856"/>
      <c r="H388" s="856"/>
      <c r="I388" s="856"/>
      <c r="J388" s="857"/>
      <c r="K388" s="849"/>
    </row>
    <row r="389" spans="1:226" s="850" customFormat="1" ht="24.95" hidden="1" customHeight="1">
      <c r="A389" s="1504"/>
      <c r="B389" s="1507"/>
      <c r="C389" s="1541"/>
      <c r="D389" s="1543"/>
      <c r="E389" s="860" t="s">
        <v>982</v>
      </c>
      <c r="F389" s="861">
        <f>SUM(F390:F391)</f>
        <v>0</v>
      </c>
      <c r="G389" s="861">
        <f>SUM(G390:G391)</f>
        <v>0</v>
      </c>
      <c r="H389" s="861">
        <f>SUM(H390:H391)</f>
        <v>0</v>
      </c>
      <c r="I389" s="861">
        <f>SUM(I390:I391)</f>
        <v>0</v>
      </c>
      <c r="J389" s="862">
        <f>SUM(J390:J391)</f>
        <v>0</v>
      </c>
      <c r="K389" s="849"/>
    </row>
    <row r="390" spans="1:226" s="850" customFormat="1" ht="15" hidden="1" customHeight="1">
      <c r="A390" s="1504"/>
      <c r="B390" s="1507"/>
      <c r="C390" s="1541"/>
      <c r="D390" s="1543"/>
      <c r="E390" s="855"/>
      <c r="F390" s="856">
        <f>SUM(G390:J390)</f>
        <v>0</v>
      </c>
      <c r="G390" s="856"/>
      <c r="H390" s="856"/>
      <c r="I390" s="856"/>
      <c r="J390" s="857"/>
      <c r="K390" s="849"/>
    </row>
    <row r="391" spans="1:226" s="850" customFormat="1" ht="15" hidden="1" customHeight="1">
      <c r="A391" s="1504"/>
      <c r="B391" s="1507"/>
      <c r="C391" s="1541"/>
      <c r="D391" s="1543"/>
      <c r="E391" s="855"/>
      <c r="F391" s="856">
        <f>SUM(G391:J391)</f>
        <v>0</v>
      </c>
      <c r="G391" s="856"/>
      <c r="H391" s="856"/>
      <c r="I391" s="856"/>
      <c r="J391" s="857"/>
      <c r="K391" s="849"/>
    </row>
    <row r="392" spans="1:226" s="850" customFormat="1" ht="24.95" customHeight="1">
      <c r="A392" s="1504"/>
      <c r="B392" s="1507"/>
      <c r="C392" s="1541"/>
      <c r="D392" s="1543"/>
      <c r="E392" s="858" t="s">
        <v>977</v>
      </c>
      <c r="F392" s="852">
        <f>SUM(F393:F397)</f>
        <v>600000</v>
      </c>
      <c r="G392" s="852">
        <f>SUM(G393:G397)</f>
        <v>90000</v>
      </c>
      <c r="H392" s="852">
        <f>SUM(H393:H397)</f>
        <v>510000</v>
      </c>
      <c r="I392" s="852">
        <f>SUM(I393:I397)</f>
        <v>0</v>
      </c>
      <c r="J392" s="853">
        <f>SUM(J393:J397)</f>
        <v>0</v>
      </c>
      <c r="K392" s="849"/>
    </row>
    <row r="393" spans="1:226" s="849" customFormat="1" ht="15" hidden="1" customHeight="1">
      <c r="A393" s="1504"/>
      <c r="B393" s="1507"/>
      <c r="C393" s="1541"/>
      <c r="D393" s="1543"/>
      <c r="E393" s="855" t="s">
        <v>204</v>
      </c>
      <c r="F393" s="856">
        <f>SUM(G393:J393)</f>
        <v>0</v>
      </c>
      <c r="G393" s="856"/>
      <c r="H393" s="856"/>
      <c r="I393" s="856"/>
      <c r="J393" s="857"/>
    </row>
    <row r="394" spans="1:226" s="850" customFormat="1" ht="15" customHeight="1">
      <c r="A394" s="1504"/>
      <c r="B394" s="1507"/>
      <c r="C394" s="1541"/>
      <c r="D394" s="1543"/>
      <c r="E394" s="855" t="s">
        <v>316</v>
      </c>
      <c r="F394" s="856">
        <f>SUM(G394:J394)</f>
        <v>510000</v>
      </c>
      <c r="G394" s="856"/>
      <c r="H394" s="856">
        <v>510000</v>
      </c>
      <c r="I394" s="856"/>
      <c r="J394" s="857"/>
      <c r="K394" s="849"/>
      <c r="L394" s="849"/>
      <c r="M394" s="849"/>
      <c r="N394" s="849"/>
      <c r="O394" s="849"/>
      <c r="P394" s="849"/>
      <c r="Q394" s="849"/>
      <c r="R394" s="849"/>
      <c r="S394" s="849"/>
      <c r="T394" s="849"/>
      <c r="U394" s="849"/>
      <c r="V394" s="849"/>
      <c r="W394" s="849"/>
      <c r="X394" s="849"/>
      <c r="Y394" s="849"/>
      <c r="Z394" s="849"/>
      <c r="AA394" s="849"/>
      <c r="AB394" s="849"/>
      <c r="AC394" s="849"/>
      <c r="AD394" s="849"/>
      <c r="AE394" s="849"/>
      <c r="AF394" s="849"/>
      <c r="AG394" s="849"/>
      <c r="AH394" s="849"/>
      <c r="AI394" s="849"/>
      <c r="AJ394" s="849"/>
      <c r="AK394" s="849"/>
      <c r="AL394" s="849"/>
      <c r="AM394" s="849"/>
      <c r="AN394" s="849"/>
      <c r="AO394" s="849"/>
      <c r="AP394" s="849"/>
      <c r="AQ394" s="849"/>
      <c r="AR394" s="849"/>
      <c r="AS394" s="849"/>
      <c r="AT394" s="849"/>
      <c r="AU394" s="849"/>
      <c r="AV394" s="849"/>
      <c r="AW394" s="849"/>
      <c r="AX394" s="849"/>
      <c r="AY394" s="849"/>
      <c r="AZ394" s="849"/>
      <c r="BA394" s="849"/>
      <c r="BB394" s="849"/>
      <c r="BC394" s="849"/>
      <c r="BD394" s="849"/>
      <c r="BE394" s="849"/>
      <c r="BF394" s="849"/>
      <c r="BG394" s="849"/>
      <c r="BH394" s="849"/>
      <c r="BI394" s="849"/>
      <c r="BJ394" s="849"/>
      <c r="BK394" s="849"/>
      <c r="BL394" s="849"/>
      <c r="BM394" s="849"/>
      <c r="BN394" s="849"/>
      <c r="BO394" s="849"/>
      <c r="BP394" s="849"/>
      <c r="BQ394" s="849"/>
      <c r="BR394" s="849"/>
      <c r="BS394" s="849"/>
      <c r="BT394" s="849"/>
      <c r="BU394" s="849"/>
      <c r="BV394" s="849"/>
      <c r="BW394" s="849"/>
      <c r="BX394" s="849"/>
      <c r="BY394" s="849"/>
      <c r="BZ394" s="849"/>
      <c r="CA394" s="849"/>
      <c r="CB394" s="849"/>
      <c r="CC394" s="849"/>
      <c r="CD394" s="849"/>
      <c r="CE394" s="849"/>
      <c r="CF394" s="849"/>
      <c r="CG394" s="849"/>
      <c r="CH394" s="849"/>
      <c r="CI394" s="849"/>
      <c r="CJ394" s="849"/>
      <c r="CK394" s="849"/>
      <c r="CL394" s="849"/>
      <c r="CM394" s="849"/>
      <c r="CN394" s="849"/>
      <c r="CO394" s="849"/>
      <c r="CP394" s="849"/>
      <c r="CQ394" s="849"/>
      <c r="CR394" s="849"/>
      <c r="CS394" s="849"/>
      <c r="CT394" s="849"/>
      <c r="CU394" s="849"/>
      <c r="CV394" s="849"/>
      <c r="CW394" s="849"/>
      <c r="CX394" s="849"/>
      <c r="CY394" s="849"/>
      <c r="CZ394" s="849"/>
      <c r="DA394" s="849"/>
      <c r="DB394" s="849"/>
      <c r="DC394" s="849"/>
      <c r="DD394" s="849"/>
      <c r="DE394" s="849"/>
      <c r="DF394" s="849"/>
      <c r="DG394" s="849"/>
      <c r="DH394" s="849"/>
      <c r="DI394" s="849"/>
      <c r="DJ394" s="849"/>
      <c r="DK394" s="849"/>
      <c r="DL394" s="849"/>
      <c r="DM394" s="849"/>
      <c r="DN394" s="849"/>
      <c r="DO394" s="849"/>
      <c r="DP394" s="849"/>
      <c r="DQ394" s="849"/>
      <c r="DR394" s="849"/>
      <c r="DS394" s="849"/>
      <c r="DT394" s="849"/>
      <c r="DU394" s="849"/>
      <c r="DV394" s="849"/>
      <c r="DW394" s="849"/>
      <c r="DX394" s="849"/>
      <c r="DY394" s="849"/>
      <c r="DZ394" s="849"/>
      <c r="EA394" s="849"/>
      <c r="EB394" s="849"/>
      <c r="EC394" s="849"/>
      <c r="ED394" s="849"/>
      <c r="EE394" s="849"/>
      <c r="EF394" s="849"/>
      <c r="EG394" s="849"/>
      <c r="EH394" s="849"/>
      <c r="EI394" s="849"/>
      <c r="EJ394" s="849"/>
      <c r="EK394" s="849"/>
      <c r="EL394" s="849"/>
      <c r="EM394" s="849"/>
      <c r="EN394" s="849"/>
      <c r="EO394" s="849"/>
      <c r="EP394" s="849"/>
      <c r="EQ394" s="849"/>
      <c r="ER394" s="849"/>
      <c r="ES394" s="849"/>
      <c r="ET394" s="849"/>
      <c r="EU394" s="849"/>
      <c r="EV394" s="849"/>
      <c r="EW394" s="849"/>
      <c r="EX394" s="849"/>
      <c r="EY394" s="849"/>
      <c r="EZ394" s="849"/>
      <c r="FA394" s="849"/>
      <c r="FB394" s="849"/>
      <c r="FC394" s="849"/>
      <c r="FD394" s="849"/>
      <c r="FE394" s="849"/>
      <c r="FF394" s="849"/>
      <c r="FG394" s="849"/>
      <c r="FH394" s="849"/>
      <c r="FI394" s="849"/>
      <c r="FJ394" s="849"/>
      <c r="FK394" s="849"/>
      <c r="FL394" s="849"/>
      <c r="FM394" s="849"/>
      <c r="FN394" s="849"/>
      <c r="FO394" s="849"/>
      <c r="FP394" s="849"/>
      <c r="FQ394" s="849"/>
      <c r="FR394" s="849"/>
      <c r="FS394" s="849"/>
      <c r="FT394" s="849"/>
      <c r="FU394" s="849"/>
      <c r="FV394" s="849"/>
      <c r="FW394" s="849"/>
      <c r="FX394" s="849"/>
      <c r="FY394" s="849"/>
      <c r="FZ394" s="849"/>
      <c r="GA394" s="849"/>
      <c r="GB394" s="849"/>
      <c r="GC394" s="849"/>
      <c r="GD394" s="849"/>
      <c r="GE394" s="849"/>
      <c r="GF394" s="849"/>
      <c r="GG394" s="849"/>
      <c r="GH394" s="849"/>
      <c r="GI394" s="849"/>
      <c r="GJ394" s="849"/>
      <c r="GK394" s="849"/>
      <c r="GL394" s="849"/>
      <c r="GM394" s="849"/>
      <c r="GN394" s="849"/>
      <c r="GO394" s="849"/>
      <c r="GP394" s="849"/>
      <c r="GQ394" s="849"/>
      <c r="GR394" s="849"/>
      <c r="GS394" s="849"/>
      <c r="GT394" s="849"/>
      <c r="GU394" s="849"/>
      <c r="GV394" s="849"/>
      <c r="GW394" s="849"/>
      <c r="GX394" s="849"/>
      <c r="GY394" s="849"/>
      <c r="GZ394" s="849"/>
      <c r="HA394" s="849"/>
      <c r="HB394" s="849"/>
      <c r="HC394" s="849"/>
      <c r="HD394" s="849"/>
      <c r="HE394" s="849"/>
      <c r="HF394" s="849"/>
      <c r="HG394" s="849"/>
      <c r="HH394" s="849"/>
      <c r="HI394" s="849"/>
      <c r="HJ394" s="849"/>
      <c r="HK394" s="849"/>
      <c r="HL394" s="849"/>
      <c r="HM394" s="849"/>
      <c r="HN394" s="849"/>
      <c r="HO394" s="849"/>
      <c r="HP394" s="849"/>
      <c r="HQ394" s="849"/>
      <c r="HR394" s="849"/>
    </row>
    <row r="395" spans="1:226" s="850" customFormat="1" ht="15" customHeight="1">
      <c r="A395" s="1504"/>
      <c r="B395" s="1507"/>
      <c r="C395" s="1541"/>
      <c r="D395" s="1543"/>
      <c r="E395" s="910">
        <v>6059</v>
      </c>
      <c r="F395" s="911">
        <f>SUM(G395:J395)</f>
        <v>90000</v>
      </c>
      <c r="G395" s="911">
        <v>90000</v>
      </c>
      <c r="H395" s="911"/>
      <c r="I395" s="911"/>
      <c r="J395" s="912"/>
      <c r="K395" s="849"/>
    </row>
    <row r="396" spans="1:226" s="850" customFormat="1" ht="15" hidden="1" customHeight="1">
      <c r="A396" s="1504"/>
      <c r="B396" s="1507"/>
      <c r="C396" s="1541"/>
      <c r="D396" s="1543"/>
      <c r="E396" s="859" t="s">
        <v>303</v>
      </c>
      <c r="F396" s="911">
        <f>SUM(G396:J396)</f>
        <v>0</v>
      </c>
      <c r="G396" s="911"/>
      <c r="H396" s="911"/>
      <c r="I396" s="911"/>
      <c r="J396" s="912"/>
      <c r="K396" s="849"/>
    </row>
    <row r="397" spans="1:226" s="850" customFormat="1" ht="15" hidden="1" customHeight="1">
      <c r="A397" s="1505"/>
      <c r="B397" s="1508"/>
      <c r="C397" s="1517"/>
      <c r="D397" s="1544"/>
      <c r="E397" s="897">
        <v>6069</v>
      </c>
      <c r="F397" s="911">
        <f>SUM(G397:J397)</f>
        <v>0</v>
      </c>
      <c r="G397" s="911"/>
      <c r="H397" s="911"/>
      <c r="I397" s="911"/>
      <c r="J397" s="912"/>
      <c r="K397" s="849"/>
    </row>
    <row r="398" spans="1:226" s="850" customFormat="1" ht="24.95" customHeight="1">
      <c r="A398" s="1503" t="s">
        <v>998</v>
      </c>
      <c r="B398" s="1506" t="s">
        <v>1029</v>
      </c>
      <c r="C398" s="1516">
        <v>600</v>
      </c>
      <c r="D398" s="1542" t="s">
        <v>310</v>
      </c>
      <c r="E398" s="846" t="s">
        <v>976</v>
      </c>
      <c r="F398" s="847">
        <f>SUM(F399,F406)</f>
        <v>640000</v>
      </c>
      <c r="G398" s="847">
        <f>SUM(G399,G406)</f>
        <v>0</v>
      </c>
      <c r="H398" s="847">
        <f>SUM(H399,H406)</f>
        <v>544000</v>
      </c>
      <c r="I398" s="847">
        <f>SUM(I399,I406)</f>
        <v>0</v>
      </c>
      <c r="J398" s="848">
        <f>SUM(J399,J406)</f>
        <v>96000</v>
      </c>
      <c r="K398" s="849"/>
    </row>
    <row r="399" spans="1:226" s="850" customFormat="1" ht="24.95" customHeight="1">
      <c r="A399" s="1504"/>
      <c r="B399" s="1507"/>
      <c r="C399" s="1541"/>
      <c r="D399" s="1543"/>
      <c r="E399" s="851" t="s">
        <v>383</v>
      </c>
      <c r="F399" s="852">
        <f>SUM(F400,F403)</f>
        <v>0</v>
      </c>
      <c r="G399" s="852">
        <f>SUM(G400,G403)</f>
        <v>0</v>
      </c>
      <c r="H399" s="852">
        <f>SUM(H400,H403)</f>
        <v>0</v>
      </c>
      <c r="I399" s="852">
        <f>SUM(I400,I403)</f>
        <v>0</v>
      </c>
      <c r="J399" s="853">
        <f>SUM(J400,J403)</f>
        <v>0</v>
      </c>
      <c r="K399" s="849"/>
    </row>
    <row r="400" spans="1:226" s="850" customFormat="1" ht="24.95" hidden="1" customHeight="1">
      <c r="A400" s="1504"/>
      <c r="B400" s="1507"/>
      <c r="C400" s="1541"/>
      <c r="D400" s="1543"/>
      <c r="E400" s="860" t="s">
        <v>981</v>
      </c>
      <c r="F400" s="861">
        <f>SUM(F401:F402)</f>
        <v>0</v>
      </c>
      <c r="G400" s="861">
        <f>SUM(G401:G402)</f>
        <v>0</v>
      </c>
      <c r="H400" s="861">
        <f>SUM(H401:H402)</f>
        <v>0</v>
      </c>
      <c r="I400" s="861">
        <f>SUM(I401:I402)</f>
        <v>0</v>
      </c>
      <c r="J400" s="862">
        <f>SUM(J401:J402)</f>
        <v>0</v>
      </c>
      <c r="K400" s="849"/>
    </row>
    <row r="401" spans="1:226" s="850" customFormat="1" ht="15" hidden="1" customHeight="1">
      <c r="A401" s="1504"/>
      <c r="B401" s="1507"/>
      <c r="C401" s="1541"/>
      <c r="D401" s="1543"/>
      <c r="E401" s="855"/>
      <c r="F401" s="856">
        <f>SUM(G401:J401)</f>
        <v>0</v>
      </c>
      <c r="G401" s="856"/>
      <c r="H401" s="856"/>
      <c r="I401" s="856"/>
      <c r="J401" s="857"/>
      <c r="K401" s="849"/>
    </row>
    <row r="402" spans="1:226" s="850" customFormat="1" ht="15" hidden="1" customHeight="1">
      <c r="A402" s="1504"/>
      <c r="B402" s="1507"/>
      <c r="C402" s="1541"/>
      <c r="D402" s="1543"/>
      <c r="E402" s="855"/>
      <c r="F402" s="856">
        <f>SUM(G402:J402)</f>
        <v>0</v>
      </c>
      <c r="G402" s="856"/>
      <c r="H402" s="856"/>
      <c r="I402" s="856"/>
      <c r="J402" s="857"/>
      <c r="K402" s="849"/>
    </row>
    <row r="403" spans="1:226" s="850" customFormat="1" ht="24.95" hidden="1" customHeight="1">
      <c r="A403" s="1504"/>
      <c r="B403" s="1507"/>
      <c r="C403" s="1541"/>
      <c r="D403" s="1543"/>
      <c r="E403" s="860" t="s">
        <v>982</v>
      </c>
      <c r="F403" s="861">
        <f>SUM(F404:F405)</f>
        <v>0</v>
      </c>
      <c r="G403" s="861">
        <f>SUM(G404:G405)</f>
        <v>0</v>
      </c>
      <c r="H403" s="861">
        <f>SUM(H404:H405)</f>
        <v>0</v>
      </c>
      <c r="I403" s="861">
        <f>SUM(I404:I405)</f>
        <v>0</v>
      </c>
      <c r="J403" s="862">
        <f>SUM(J404:J405)</f>
        <v>0</v>
      </c>
      <c r="K403" s="849"/>
    </row>
    <row r="404" spans="1:226" s="850" customFormat="1" ht="15" hidden="1" customHeight="1">
      <c r="A404" s="1504"/>
      <c r="B404" s="1507"/>
      <c r="C404" s="1541"/>
      <c r="D404" s="1543"/>
      <c r="E404" s="855"/>
      <c r="F404" s="856">
        <f>SUM(G404:J404)</f>
        <v>0</v>
      </c>
      <c r="G404" s="856"/>
      <c r="H404" s="856"/>
      <c r="I404" s="856"/>
      <c r="J404" s="857"/>
      <c r="K404" s="849"/>
    </row>
    <row r="405" spans="1:226" s="850" customFormat="1" ht="15" hidden="1" customHeight="1">
      <c r="A405" s="1504"/>
      <c r="B405" s="1507"/>
      <c r="C405" s="1541"/>
      <c r="D405" s="1543"/>
      <c r="E405" s="855"/>
      <c r="F405" s="856">
        <f>SUM(G405:J405)</f>
        <v>0</v>
      </c>
      <c r="G405" s="856"/>
      <c r="H405" s="856"/>
      <c r="I405" s="856"/>
      <c r="J405" s="857"/>
      <c r="K405" s="849"/>
    </row>
    <row r="406" spans="1:226" s="850" customFormat="1" ht="24.95" customHeight="1">
      <c r="A406" s="1504"/>
      <c r="B406" s="1507"/>
      <c r="C406" s="1541"/>
      <c r="D406" s="1543"/>
      <c r="E406" s="858" t="s">
        <v>977</v>
      </c>
      <c r="F406" s="852">
        <f>SUM(F407:F411)</f>
        <v>640000</v>
      </c>
      <c r="G406" s="852">
        <f>SUM(G407:G411)</f>
        <v>0</v>
      </c>
      <c r="H406" s="852">
        <f>SUM(H407:H411)</f>
        <v>544000</v>
      </c>
      <c r="I406" s="852">
        <f>SUM(I407:I411)</f>
        <v>0</v>
      </c>
      <c r="J406" s="853">
        <f>SUM(J407:J411)</f>
        <v>96000</v>
      </c>
      <c r="K406" s="849"/>
    </row>
    <row r="407" spans="1:226" s="849" customFormat="1" ht="15" hidden="1" customHeight="1">
      <c r="A407" s="1504"/>
      <c r="B407" s="1507"/>
      <c r="C407" s="1541"/>
      <c r="D407" s="1543"/>
      <c r="E407" s="855" t="s">
        <v>204</v>
      </c>
      <c r="F407" s="856">
        <f>SUM(G407:J407)</f>
        <v>0</v>
      </c>
      <c r="G407" s="856"/>
      <c r="H407" s="856"/>
      <c r="I407" s="856"/>
      <c r="J407" s="857"/>
    </row>
    <row r="408" spans="1:226" s="850" customFormat="1" ht="15" customHeight="1">
      <c r="A408" s="1504"/>
      <c r="B408" s="1507"/>
      <c r="C408" s="1541"/>
      <c r="D408" s="1543"/>
      <c r="E408" s="855" t="s">
        <v>316</v>
      </c>
      <c r="F408" s="856">
        <f>SUM(G408:J408)</f>
        <v>544000</v>
      </c>
      <c r="G408" s="856"/>
      <c r="H408" s="856">
        <v>544000</v>
      </c>
      <c r="I408" s="856"/>
      <c r="J408" s="857"/>
      <c r="K408" s="849"/>
      <c r="L408" s="849"/>
      <c r="M408" s="849"/>
      <c r="N408" s="849"/>
      <c r="O408" s="849"/>
      <c r="P408" s="849"/>
      <c r="Q408" s="849"/>
      <c r="R408" s="849"/>
      <c r="S408" s="849"/>
      <c r="T408" s="849"/>
      <c r="U408" s="849"/>
      <c r="V408" s="849"/>
      <c r="W408" s="849"/>
      <c r="X408" s="849"/>
      <c r="Y408" s="849"/>
      <c r="Z408" s="849"/>
      <c r="AA408" s="849"/>
      <c r="AB408" s="849"/>
      <c r="AC408" s="849"/>
      <c r="AD408" s="849"/>
      <c r="AE408" s="849"/>
      <c r="AF408" s="849"/>
      <c r="AG408" s="849"/>
      <c r="AH408" s="849"/>
      <c r="AI408" s="849"/>
      <c r="AJ408" s="849"/>
      <c r="AK408" s="849"/>
      <c r="AL408" s="849"/>
      <c r="AM408" s="849"/>
      <c r="AN408" s="849"/>
      <c r="AO408" s="849"/>
      <c r="AP408" s="849"/>
      <c r="AQ408" s="849"/>
      <c r="AR408" s="849"/>
      <c r="AS408" s="849"/>
      <c r="AT408" s="849"/>
      <c r="AU408" s="849"/>
      <c r="AV408" s="849"/>
      <c r="AW408" s="849"/>
      <c r="AX408" s="849"/>
      <c r="AY408" s="849"/>
      <c r="AZ408" s="849"/>
      <c r="BA408" s="849"/>
      <c r="BB408" s="849"/>
      <c r="BC408" s="849"/>
      <c r="BD408" s="849"/>
      <c r="BE408" s="849"/>
      <c r="BF408" s="849"/>
      <c r="BG408" s="849"/>
      <c r="BH408" s="849"/>
      <c r="BI408" s="849"/>
      <c r="BJ408" s="849"/>
      <c r="BK408" s="849"/>
      <c r="BL408" s="849"/>
      <c r="BM408" s="849"/>
      <c r="BN408" s="849"/>
      <c r="BO408" s="849"/>
      <c r="BP408" s="849"/>
      <c r="BQ408" s="849"/>
      <c r="BR408" s="849"/>
      <c r="BS408" s="849"/>
      <c r="BT408" s="849"/>
      <c r="BU408" s="849"/>
      <c r="BV408" s="849"/>
      <c r="BW408" s="849"/>
      <c r="BX408" s="849"/>
      <c r="BY408" s="849"/>
      <c r="BZ408" s="849"/>
      <c r="CA408" s="849"/>
      <c r="CB408" s="849"/>
      <c r="CC408" s="849"/>
      <c r="CD408" s="849"/>
      <c r="CE408" s="849"/>
      <c r="CF408" s="849"/>
      <c r="CG408" s="849"/>
      <c r="CH408" s="849"/>
      <c r="CI408" s="849"/>
      <c r="CJ408" s="849"/>
      <c r="CK408" s="849"/>
      <c r="CL408" s="849"/>
      <c r="CM408" s="849"/>
      <c r="CN408" s="849"/>
      <c r="CO408" s="849"/>
      <c r="CP408" s="849"/>
      <c r="CQ408" s="849"/>
      <c r="CR408" s="849"/>
      <c r="CS408" s="849"/>
      <c r="CT408" s="849"/>
      <c r="CU408" s="849"/>
      <c r="CV408" s="849"/>
      <c r="CW408" s="849"/>
      <c r="CX408" s="849"/>
      <c r="CY408" s="849"/>
      <c r="CZ408" s="849"/>
      <c r="DA408" s="849"/>
      <c r="DB408" s="849"/>
      <c r="DC408" s="849"/>
      <c r="DD408" s="849"/>
      <c r="DE408" s="849"/>
      <c r="DF408" s="849"/>
      <c r="DG408" s="849"/>
      <c r="DH408" s="849"/>
      <c r="DI408" s="849"/>
      <c r="DJ408" s="849"/>
      <c r="DK408" s="849"/>
      <c r="DL408" s="849"/>
      <c r="DM408" s="849"/>
      <c r="DN408" s="849"/>
      <c r="DO408" s="849"/>
      <c r="DP408" s="849"/>
      <c r="DQ408" s="849"/>
      <c r="DR408" s="849"/>
      <c r="DS408" s="849"/>
      <c r="DT408" s="849"/>
      <c r="DU408" s="849"/>
      <c r="DV408" s="849"/>
      <c r="DW408" s="849"/>
      <c r="DX408" s="849"/>
      <c r="DY408" s="849"/>
      <c r="DZ408" s="849"/>
      <c r="EA408" s="849"/>
      <c r="EB408" s="849"/>
      <c r="EC408" s="849"/>
      <c r="ED408" s="849"/>
      <c r="EE408" s="849"/>
      <c r="EF408" s="849"/>
      <c r="EG408" s="849"/>
      <c r="EH408" s="849"/>
      <c r="EI408" s="849"/>
      <c r="EJ408" s="849"/>
      <c r="EK408" s="849"/>
      <c r="EL408" s="849"/>
      <c r="EM408" s="849"/>
      <c r="EN408" s="849"/>
      <c r="EO408" s="849"/>
      <c r="EP408" s="849"/>
      <c r="EQ408" s="849"/>
      <c r="ER408" s="849"/>
      <c r="ES408" s="849"/>
      <c r="ET408" s="849"/>
      <c r="EU408" s="849"/>
      <c r="EV408" s="849"/>
      <c r="EW408" s="849"/>
      <c r="EX408" s="849"/>
      <c r="EY408" s="849"/>
      <c r="EZ408" s="849"/>
      <c r="FA408" s="849"/>
      <c r="FB408" s="849"/>
      <c r="FC408" s="849"/>
      <c r="FD408" s="849"/>
      <c r="FE408" s="849"/>
      <c r="FF408" s="849"/>
      <c r="FG408" s="849"/>
      <c r="FH408" s="849"/>
      <c r="FI408" s="849"/>
      <c r="FJ408" s="849"/>
      <c r="FK408" s="849"/>
      <c r="FL408" s="849"/>
      <c r="FM408" s="849"/>
      <c r="FN408" s="849"/>
      <c r="FO408" s="849"/>
      <c r="FP408" s="849"/>
      <c r="FQ408" s="849"/>
      <c r="FR408" s="849"/>
      <c r="FS408" s="849"/>
      <c r="FT408" s="849"/>
      <c r="FU408" s="849"/>
      <c r="FV408" s="849"/>
      <c r="FW408" s="849"/>
      <c r="FX408" s="849"/>
      <c r="FY408" s="849"/>
      <c r="FZ408" s="849"/>
      <c r="GA408" s="849"/>
      <c r="GB408" s="849"/>
      <c r="GC408" s="849"/>
      <c r="GD408" s="849"/>
      <c r="GE408" s="849"/>
      <c r="GF408" s="849"/>
      <c r="GG408" s="849"/>
      <c r="GH408" s="849"/>
      <c r="GI408" s="849"/>
      <c r="GJ408" s="849"/>
      <c r="GK408" s="849"/>
      <c r="GL408" s="849"/>
      <c r="GM408" s="849"/>
      <c r="GN408" s="849"/>
      <c r="GO408" s="849"/>
      <c r="GP408" s="849"/>
      <c r="GQ408" s="849"/>
      <c r="GR408" s="849"/>
      <c r="GS408" s="849"/>
      <c r="GT408" s="849"/>
      <c r="GU408" s="849"/>
      <c r="GV408" s="849"/>
      <c r="GW408" s="849"/>
      <c r="GX408" s="849"/>
      <c r="GY408" s="849"/>
      <c r="GZ408" s="849"/>
      <c r="HA408" s="849"/>
      <c r="HB408" s="849"/>
      <c r="HC408" s="849"/>
      <c r="HD408" s="849"/>
      <c r="HE408" s="849"/>
      <c r="HF408" s="849"/>
      <c r="HG408" s="849"/>
      <c r="HH408" s="849"/>
      <c r="HI408" s="849"/>
      <c r="HJ408" s="849"/>
      <c r="HK408" s="849"/>
      <c r="HL408" s="849"/>
      <c r="HM408" s="849"/>
      <c r="HN408" s="849"/>
      <c r="HO408" s="849"/>
      <c r="HP408" s="849"/>
      <c r="HQ408" s="849"/>
      <c r="HR408" s="849"/>
    </row>
    <row r="409" spans="1:226" s="850" customFormat="1" ht="15" customHeight="1">
      <c r="A409" s="1504"/>
      <c r="B409" s="1507"/>
      <c r="C409" s="1541"/>
      <c r="D409" s="1543"/>
      <c r="E409" s="910">
        <v>6059</v>
      </c>
      <c r="F409" s="911">
        <f>SUM(G409:J409)</f>
        <v>96000</v>
      </c>
      <c r="G409" s="911"/>
      <c r="H409" s="911"/>
      <c r="I409" s="911"/>
      <c r="J409" s="912">
        <v>96000</v>
      </c>
      <c r="K409" s="849"/>
    </row>
    <row r="410" spans="1:226" s="850" customFormat="1" ht="15" hidden="1" customHeight="1">
      <c r="A410" s="1504"/>
      <c r="B410" s="1507"/>
      <c r="C410" s="1541"/>
      <c r="D410" s="1543"/>
      <c r="E410" s="859" t="s">
        <v>303</v>
      </c>
      <c r="F410" s="911">
        <f>SUM(G410:J410)</f>
        <v>0</v>
      </c>
      <c r="G410" s="911"/>
      <c r="H410" s="911"/>
      <c r="I410" s="911"/>
      <c r="J410" s="912"/>
      <c r="K410" s="849"/>
    </row>
    <row r="411" spans="1:226" s="850" customFormat="1" ht="15" hidden="1" customHeight="1">
      <c r="A411" s="1505"/>
      <c r="B411" s="1508"/>
      <c r="C411" s="1517"/>
      <c r="D411" s="1544"/>
      <c r="E411" s="897">
        <v>6069</v>
      </c>
      <c r="F411" s="911">
        <f>SUM(G411:J411)</f>
        <v>0</v>
      </c>
      <c r="G411" s="911"/>
      <c r="H411" s="911"/>
      <c r="I411" s="911"/>
      <c r="J411" s="912"/>
      <c r="K411" s="849"/>
    </row>
    <row r="412" spans="1:226" s="850" customFormat="1" ht="24.95" customHeight="1">
      <c r="A412" s="1503" t="s">
        <v>1000</v>
      </c>
      <c r="B412" s="1506" t="s">
        <v>1030</v>
      </c>
      <c r="C412" s="1516">
        <v>600</v>
      </c>
      <c r="D412" s="1542" t="s">
        <v>310</v>
      </c>
      <c r="E412" s="846" t="s">
        <v>976</v>
      </c>
      <c r="F412" s="847">
        <f>SUM(F413,F420)</f>
        <v>600000</v>
      </c>
      <c r="G412" s="847">
        <f>SUM(G413,G420)</f>
        <v>90000</v>
      </c>
      <c r="H412" s="847">
        <f>SUM(H413,H420)</f>
        <v>510000</v>
      </c>
      <c r="I412" s="847">
        <f>SUM(I413,I420)</f>
        <v>0</v>
      </c>
      <c r="J412" s="848">
        <f>SUM(J413,J420)</f>
        <v>0</v>
      </c>
      <c r="K412" s="849"/>
    </row>
    <row r="413" spans="1:226" s="850" customFormat="1" ht="24.95" customHeight="1">
      <c r="A413" s="1504"/>
      <c r="B413" s="1507"/>
      <c r="C413" s="1541"/>
      <c r="D413" s="1543"/>
      <c r="E413" s="851" t="s">
        <v>383</v>
      </c>
      <c r="F413" s="852">
        <f>SUM(F414,F417)</f>
        <v>0</v>
      </c>
      <c r="G413" s="852">
        <f>SUM(G414,G417)</f>
        <v>0</v>
      </c>
      <c r="H413" s="852">
        <f>SUM(H414,H417)</f>
        <v>0</v>
      </c>
      <c r="I413" s="852">
        <f>SUM(I414,I417)</f>
        <v>0</v>
      </c>
      <c r="J413" s="853">
        <f>SUM(J414,J417)</f>
        <v>0</v>
      </c>
      <c r="K413" s="849"/>
    </row>
    <row r="414" spans="1:226" s="850" customFormat="1" ht="24.95" hidden="1" customHeight="1">
      <c r="A414" s="1504"/>
      <c r="B414" s="1507"/>
      <c r="C414" s="1541"/>
      <c r="D414" s="1543"/>
      <c r="E414" s="860" t="s">
        <v>981</v>
      </c>
      <c r="F414" s="861">
        <f>SUM(F415:F416)</f>
        <v>0</v>
      </c>
      <c r="G414" s="861">
        <f>SUM(G415:G416)</f>
        <v>0</v>
      </c>
      <c r="H414" s="861">
        <f>SUM(H415:H416)</f>
        <v>0</v>
      </c>
      <c r="I414" s="861">
        <f>SUM(I415:I416)</f>
        <v>0</v>
      </c>
      <c r="J414" s="862">
        <f>SUM(J415:J416)</f>
        <v>0</v>
      </c>
      <c r="K414" s="849"/>
    </row>
    <row r="415" spans="1:226" s="850" customFormat="1" ht="15" hidden="1" customHeight="1">
      <c r="A415" s="1504"/>
      <c r="B415" s="1507"/>
      <c r="C415" s="1541"/>
      <c r="D415" s="1543"/>
      <c r="E415" s="855"/>
      <c r="F415" s="856">
        <f>SUM(G415:J415)</f>
        <v>0</v>
      </c>
      <c r="G415" s="856"/>
      <c r="H415" s="856"/>
      <c r="I415" s="856"/>
      <c r="J415" s="857"/>
      <c r="K415" s="849"/>
    </row>
    <row r="416" spans="1:226" s="850" customFormat="1" ht="15" hidden="1" customHeight="1">
      <c r="A416" s="1504"/>
      <c r="B416" s="1507"/>
      <c r="C416" s="1541"/>
      <c r="D416" s="1543"/>
      <c r="E416" s="855"/>
      <c r="F416" s="856">
        <f>SUM(G416:J416)</f>
        <v>0</v>
      </c>
      <c r="G416" s="856"/>
      <c r="H416" s="856"/>
      <c r="I416" s="856"/>
      <c r="J416" s="857"/>
      <c r="K416" s="849"/>
    </row>
    <row r="417" spans="1:226" s="850" customFormat="1" ht="24.95" hidden="1" customHeight="1">
      <c r="A417" s="1504"/>
      <c r="B417" s="1507"/>
      <c r="C417" s="1541"/>
      <c r="D417" s="1543"/>
      <c r="E417" s="860" t="s">
        <v>982</v>
      </c>
      <c r="F417" s="861">
        <f>SUM(F418:F419)</f>
        <v>0</v>
      </c>
      <c r="G417" s="861">
        <f>SUM(G418:G419)</f>
        <v>0</v>
      </c>
      <c r="H417" s="861">
        <f>SUM(H418:H419)</f>
        <v>0</v>
      </c>
      <c r="I417" s="861">
        <f>SUM(I418:I419)</f>
        <v>0</v>
      </c>
      <c r="J417" s="862">
        <f>SUM(J418:J419)</f>
        <v>0</v>
      </c>
      <c r="K417" s="849"/>
    </row>
    <row r="418" spans="1:226" s="850" customFormat="1" ht="15" hidden="1" customHeight="1">
      <c r="A418" s="1504"/>
      <c r="B418" s="1507"/>
      <c r="C418" s="1541"/>
      <c r="D418" s="1543"/>
      <c r="E418" s="855"/>
      <c r="F418" s="856">
        <f>SUM(G418:J418)</f>
        <v>0</v>
      </c>
      <c r="G418" s="856"/>
      <c r="H418" s="856"/>
      <c r="I418" s="856"/>
      <c r="J418" s="857"/>
      <c r="K418" s="849"/>
    </row>
    <row r="419" spans="1:226" s="850" customFormat="1" ht="15" hidden="1" customHeight="1">
      <c r="A419" s="1504"/>
      <c r="B419" s="1507"/>
      <c r="C419" s="1541"/>
      <c r="D419" s="1543"/>
      <c r="E419" s="855"/>
      <c r="F419" s="856">
        <f>SUM(G419:J419)</f>
        <v>0</v>
      </c>
      <c r="G419" s="856"/>
      <c r="H419" s="856"/>
      <c r="I419" s="856"/>
      <c r="J419" s="857"/>
      <c r="K419" s="849"/>
    </row>
    <row r="420" spans="1:226" s="850" customFormat="1" ht="24.95" customHeight="1">
      <c r="A420" s="1504"/>
      <c r="B420" s="1507"/>
      <c r="C420" s="1541"/>
      <c r="D420" s="1543"/>
      <c r="E420" s="858" t="s">
        <v>977</v>
      </c>
      <c r="F420" s="852">
        <f>SUM(F421:F425)</f>
        <v>600000</v>
      </c>
      <c r="G420" s="852">
        <f>SUM(G421:G425)</f>
        <v>90000</v>
      </c>
      <c r="H420" s="852">
        <f>SUM(H421:H425)</f>
        <v>510000</v>
      </c>
      <c r="I420" s="852">
        <f>SUM(I421:I425)</f>
        <v>0</v>
      </c>
      <c r="J420" s="853">
        <f>SUM(J421:J425)</f>
        <v>0</v>
      </c>
      <c r="K420" s="849"/>
    </row>
    <row r="421" spans="1:226" s="849" customFormat="1" ht="15" hidden="1" customHeight="1">
      <c r="A421" s="1504"/>
      <c r="B421" s="1507"/>
      <c r="C421" s="1541"/>
      <c r="D421" s="1543"/>
      <c r="E421" s="855" t="s">
        <v>204</v>
      </c>
      <c r="F421" s="856">
        <f>SUM(G421:J421)</f>
        <v>0</v>
      </c>
      <c r="G421" s="856"/>
      <c r="H421" s="856"/>
      <c r="I421" s="856"/>
      <c r="J421" s="857"/>
    </row>
    <row r="422" spans="1:226" s="850" customFormat="1" ht="15" customHeight="1">
      <c r="A422" s="1504"/>
      <c r="B422" s="1507"/>
      <c r="C422" s="1541"/>
      <c r="D422" s="1543"/>
      <c r="E422" s="855" t="s">
        <v>316</v>
      </c>
      <c r="F422" s="856">
        <f>SUM(G422:J422)</f>
        <v>510000</v>
      </c>
      <c r="G422" s="856"/>
      <c r="H422" s="856">
        <v>510000</v>
      </c>
      <c r="I422" s="856"/>
      <c r="J422" s="857"/>
      <c r="K422" s="849"/>
      <c r="L422" s="849"/>
      <c r="M422" s="849"/>
      <c r="N422" s="849"/>
      <c r="O422" s="849"/>
      <c r="P422" s="849"/>
      <c r="Q422" s="849"/>
      <c r="R422" s="849"/>
      <c r="S422" s="849"/>
      <c r="T422" s="849"/>
      <c r="U422" s="849"/>
      <c r="V422" s="849"/>
      <c r="W422" s="849"/>
      <c r="X422" s="849"/>
      <c r="Y422" s="849"/>
      <c r="Z422" s="849"/>
      <c r="AA422" s="849"/>
      <c r="AB422" s="849"/>
      <c r="AC422" s="849"/>
      <c r="AD422" s="849"/>
      <c r="AE422" s="849"/>
      <c r="AF422" s="849"/>
      <c r="AG422" s="849"/>
      <c r="AH422" s="849"/>
      <c r="AI422" s="849"/>
      <c r="AJ422" s="849"/>
      <c r="AK422" s="849"/>
      <c r="AL422" s="849"/>
      <c r="AM422" s="849"/>
      <c r="AN422" s="849"/>
      <c r="AO422" s="849"/>
      <c r="AP422" s="849"/>
      <c r="AQ422" s="849"/>
      <c r="AR422" s="849"/>
      <c r="AS422" s="849"/>
      <c r="AT422" s="849"/>
      <c r="AU422" s="849"/>
      <c r="AV422" s="849"/>
      <c r="AW422" s="849"/>
      <c r="AX422" s="849"/>
      <c r="AY422" s="849"/>
      <c r="AZ422" s="849"/>
      <c r="BA422" s="849"/>
      <c r="BB422" s="849"/>
      <c r="BC422" s="849"/>
      <c r="BD422" s="849"/>
      <c r="BE422" s="849"/>
      <c r="BF422" s="849"/>
      <c r="BG422" s="849"/>
      <c r="BH422" s="849"/>
      <c r="BI422" s="849"/>
      <c r="BJ422" s="849"/>
      <c r="BK422" s="849"/>
      <c r="BL422" s="849"/>
      <c r="BM422" s="849"/>
      <c r="BN422" s="849"/>
      <c r="BO422" s="849"/>
      <c r="BP422" s="849"/>
      <c r="BQ422" s="849"/>
      <c r="BR422" s="849"/>
      <c r="BS422" s="849"/>
      <c r="BT422" s="849"/>
      <c r="BU422" s="849"/>
      <c r="BV422" s="849"/>
      <c r="BW422" s="849"/>
      <c r="BX422" s="849"/>
      <c r="BY422" s="849"/>
      <c r="BZ422" s="849"/>
      <c r="CA422" s="849"/>
      <c r="CB422" s="849"/>
      <c r="CC422" s="849"/>
      <c r="CD422" s="849"/>
      <c r="CE422" s="849"/>
      <c r="CF422" s="849"/>
      <c r="CG422" s="849"/>
      <c r="CH422" s="849"/>
      <c r="CI422" s="849"/>
      <c r="CJ422" s="849"/>
      <c r="CK422" s="849"/>
      <c r="CL422" s="849"/>
      <c r="CM422" s="849"/>
      <c r="CN422" s="849"/>
      <c r="CO422" s="849"/>
      <c r="CP422" s="849"/>
      <c r="CQ422" s="849"/>
      <c r="CR422" s="849"/>
      <c r="CS422" s="849"/>
      <c r="CT422" s="849"/>
      <c r="CU422" s="849"/>
      <c r="CV422" s="849"/>
      <c r="CW422" s="849"/>
      <c r="CX422" s="849"/>
      <c r="CY422" s="849"/>
      <c r="CZ422" s="849"/>
      <c r="DA422" s="849"/>
      <c r="DB422" s="849"/>
      <c r="DC422" s="849"/>
      <c r="DD422" s="849"/>
      <c r="DE422" s="849"/>
      <c r="DF422" s="849"/>
      <c r="DG422" s="849"/>
      <c r="DH422" s="849"/>
      <c r="DI422" s="849"/>
      <c r="DJ422" s="849"/>
      <c r="DK422" s="849"/>
      <c r="DL422" s="849"/>
      <c r="DM422" s="849"/>
      <c r="DN422" s="849"/>
      <c r="DO422" s="849"/>
      <c r="DP422" s="849"/>
      <c r="DQ422" s="849"/>
      <c r="DR422" s="849"/>
      <c r="DS422" s="849"/>
      <c r="DT422" s="849"/>
      <c r="DU422" s="849"/>
      <c r="DV422" s="849"/>
      <c r="DW422" s="849"/>
      <c r="DX422" s="849"/>
      <c r="DY422" s="849"/>
      <c r="DZ422" s="849"/>
      <c r="EA422" s="849"/>
      <c r="EB422" s="849"/>
      <c r="EC422" s="849"/>
      <c r="ED422" s="849"/>
      <c r="EE422" s="849"/>
      <c r="EF422" s="849"/>
      <c r="EG422" s="849"/>
      <c r="EH422" s="849"/>
      <c r="EI422" s="849"/>
      <c r="EJ422" s="849"/>
      <c r="EK422" s="849"/>
      <c r="EL422" s="849"/>
      <c r="EM422" s="849"/>
      <c r="EN422" s="849"/>
      <c r="EO422" s="849"/>
      <c r="EP422" s="849"/>
      <c r="EQ422" s="849"/>
      <c r="ER422" s="849"/>
      <c r="ES422" s="849"/>
      <c r="ET422" s="849"/>
      <c r="EU422" s="849"/>
      <c r="EV422" s="849"/>
      <c r="EW422" s="849"/>
      <c r="EX422" s="849"/>
      <c r="EY422" s="849"/>
      <c r="EZ422" s="849"/>
      <c r="FA422" s="849"/>
      <c r="FB422" s="849"/>
      <c r="FC422" s="849"/>
      <c r="FD422" s="849"/>
      <c r="FE422" s="849"/>
      <c r="FF422" s="849"/>
      <c r="FG422" s="849"/>
      <c r="FH422" s="849"/>
      <c r="FI422" s="849"/>
      <c r="FJ422" s="849"/>
      <c r="FK422" s="849"/>
      <c r="FL422" s="849"/>
      <c r="FM422" s="849"/>
      <c r="FN422" s="849"/>
      <c r="FO422" s="849"/>
      <c r="FP422" s="849"/>
      <c r="FQ422" s="849"/>
      <c r="FR422" s="849"/>
      <c r="FS422" s="849"/>
      <c r="FT422" s="849"/>
      <c r="FU422" s="849"/>
      <c r="FV422" s="849"/>
      <c r="FW422" s="849"/>
      <c r="FX422" s="849"/>
      <c r="FY422" s="849"/>
      <c r="FZ422" s="849"/>
      <c r="GA422" s="849"/>
      <c r="GB422" s="849"/>
      <c r="GC422" s="849"/>
      <c r="GD422" s="849"/>
      <c r="GE422" s="849"/>
      <c r="GF422" s="849"/>
      <c r="GG422" s="849"/>
      <c r="GH422" s="849"/>
      <c r="GI422" s="849"/>
      <c r="GJ422" s="849"/>
      <c r="GK422" s="849"/>
      <c r="GL422" s="849"/>
      <c r="GM422" s="849"/>
      <c r="GN422" s="849"/>
      <c r="GO422" s="849"/>
      <c r="GP422" s="849"/>
      <c r="GQ422" s="849"/>
      <c r="GR422" s="849"/>
      <c r="GS422" s="849"/>
      <c r="GT422" s="849"/>
      <c r="GU422" s="849"/>
      <c r="GV422" s="849"/>
      <c r="GW422" s="849"/>
      <c r="GX422" s="849"/>
      <c r="GY422" s="849"/>
      <c r="GZ422" s="849"/>
      <c r="HA422" s="849"/>
      <c r="HB422" s="849"/>
      <c r="HC422" s="849"/>
      <c r="HD422" s="849"/>
      <c r="HE422" s="849"/>
      <c r="HF422" s="849"/>
      <c r="HG422" s="849"/>
      <c r="HH422" s="849"/>
      <c r="HI422" s="849"/>
      <c r="HJ422" s="849"/>
      <c r="HK422" s="849"/>
      <c r="HL422" s="849"/>
      <c r="HM422" s="849"/>
      <c r="HN422" s="849"/>
      <c r="HO422" s="849"/>
      <c r="HP422" s="849"/>
      <c r="HQ422" s="849"/>
      <c r="HR422" s="849"/>
    </row>
    <row r="423" spans="1:226" s="850" customFormat="1" ht="15" customHeight="1">
      <c r="A423" s="1504"/>
      <c r="B423" s="1507"/>
      <c r="C423" s="1541"/>
      <c r="D423" s="1543"/>
      <c r="E423" s="910">
        <v>6059</v>
      </c>
      <c r="F423" s="911">
        <f>SUM(G423:J423)</f>
        <v>90000</v>
      </c>
      <c r="G423" s="911">
        <v>90000</v>
      </c>
      <c r="H423" s="911"/>
      <c r="I423" s="911"/>
      <c r="J423" s="912"/>
      <c r="K423" s="849"/>
    </row>
    <row r="424" spans="1:226" s="850" customFormat="1" ht="15" hidden="1" customHeight="1">
      <c r="A424" s="1504"/>
      <c r="B424" s="1507"/>
      <c r="C424" s="1541"/>
      <c r="D424" s="1543"/>
      <c r="E424" s="859" t="s">
        <v>303</v>
      </c>
      <c r="F424" s="911">
        <f>SUM(G424:J424)</f>
        <v>0</v>
      </c>
      <c r="G424" s="911"/>
      <c r="H424" s="911"/>
      <c r="I424" s="911"/>
      <c r="J424" s="912"/>
      <c r="K424" s="849"/>
    </row>
    <row r="425" spans="1:226" s="850" customFormat="1" ht="15" hidden="1" customHeight="1">
      <c r="A425" s="1505"/>
      <c r="B425" s="1508"/>
      <c r="C425" s="1517"/>
      <c r="D425" s="1544"/>
      <c r="E425" s="897">
        <v>6069</v>
      </c>
      <c r="F425" s="911">
        <f>SUM(G425:J425)</f>
        <v>0</v>
      </c>
      <c r="G425" s="911"/>
      <c r="H425" s="911"/>
      <c r="I425" s="911"/>
      <c r="J425" s="912"/>
      <c r="K425" s="849"/>
    </row>
    <row r="426" spans="1:226" s="850" customFormat="1" ht="24.95" customHeight="1">
      <c r="A426" s="1503" t="s">
        <v>1002</v>
      </c>
      <c r="B426" s="1506" t="s">
        <v>1031</v>
      </c>
      <c r="C426" s="1516">
        <v>600</v>
      </c>
      <c r="D426" s="1542" t="s">
        <v>310</v>
      </c>
      <c r="E426" s="846" t="s">
        <v>976</v>
      </c>
      <c r="F426" s="847">
        <f>SUM(F427,F434)</f>
        <v>2800000</v>
      </c>
      <c r="G426" s="847">
        <f>SUM(G427,G434)</f>
        <v>420000</v>
      </c>
      <c r="H426" s="847">
        <f>SUM(H427,H434)</f>
        <v>2380000</v>
      </c>
      <c r="I426" s="847">
        <f>SUM(I427,I434)</f>
        <v>0</v>
      </c>
      <c r="J426" s="848">
        <f>SUM(J427,J434)</f>
        <v>0</v>
      </c>
      <c r="K426" s="849"/>
    </row>
    <row r="427" spans="1:226" s="850" customFormat="1" ht="24.95" customHeight="1">
      <c r="A427" s="1504"/>
      <c r="B427" s="1507"/>
      <c r="C427" s="1541"/>
      <c r="D427" s="1543"/>
      <c r="E427" s="851" t="s">
        <v>383</v>
      </c>
      <c r="F427" s="852">
        <f>SUM(F428,F431)</f>
        <v>0</v>
      </c>
      <c r="G427" s="852">
        <f>SUM(G428,G431)</f>
        <v>0</v>
      </c>
      <c r="H427" s="852">
        <f>SUM(H428,H431)</f>
        <v>0</v>
      </c>
      <c r="I427" s="852">
        <f>SUM(I428,I431)</f>
        <v>0</v>
      </c>
      <c r="J427" s="853">
        <f>SUM(J428,J431)</f>
        <v>0</v>
      </c>
      <c r="K427" s="849"/>
    </row>
    <row r="428" spans="1:226" s="850" customFormat="1" ht="24.95" hidden="1" customHeight="1">
      <c r="A428" s="1504"/>
      <c r="B428" s="1507"/>
      <c r="C428" s="1541"/>
      <c r="D428" s="1543"/>
      <c r="E428" s="860" t="s">
        <v>981</v>
      </c>
      <c r="F428" s="861">
        <f>SUM(F429:F430)</f>
        <v>0</v>
      </c>
      <c r="G428" s="861">
        <f>SUM(G429:G430)</f>
        <v>0</v>
      </c>
      <c r="H428" s="861">
        <f>SUM(H429:H430)</f>
        <v>0</v>
      </c>
      <c r="I428" s="861">
        <f>SUM(I429:I430)</f>
        <v>0</v>
      </c>
      <c r="J428" s="862">
        <f>SUM(J429:J430)</f>
        <v>0</v>
      </c>
      <c r="K428" s="849"/>
    </row>
    <row r="429" spans="1:226" s="850" customFormat="1" ht="15" hidden="1" customHeight="1">
      <c r="A429" s="1504"/>
      <c r="B429" s="1507"/>
      <c r="C429" s="1541"/>
      <c r="D429" s="1543"/>
      <c r="E429" s="855"/>
      <c r="F429" s="856">
        <f>SUM(G429:J429)</f>
        <v>0</v>
      </c>
      <c r="G429" s="856"/>
      <c r="H429" s="856"/>
      <c r="I429" s="856"/>
      <c r="J429" s="857"/>
      <c r="K429" s="849"/>
    </row>
    <row r="430" spans="1:226" s="850" customFormat="1" ht="15" hidden="1" customHeight="1">
      <c r="A430" s="1504"/>
      <c r="B430" s="1507"/>
      <c r="C430" s="1541"/>
      <c r="D430" s="1543"/>
      <c r="E430" s="855"/>
      <c r="F430" s="856">
        <f>SUM(G430:J430)</f>
        <v>0</v>
      </c>
      <c r="G430" s="856"/>
      <c r="H430" s="856"/>
      <c r="I430" s="856"/>
      <c r="J430" s="857"/>
      <c r="K430" s="849"/>
    </row>
    <row r="431" spans="1:226" s="850" customFormat="1" ht="24.95" hidden="1" customHeight="1">
      <c r="A431" s="1504"/>
      <c r="B431" s="1507"/>
      <c r="C431" s="1541"/>
      <c r="D431" s="1543"/>
      <c r="E431" s="860" t="s">
        <v>982</v>
      </c>
      <c r="F431" s="861">
        <f>SUM(F432:F433)</f>
        <v>0</v>
      </c>
      <c r="G431" s="861">
        <f>SUM(G432:G433)</f>
        <v>0</v>
      </c>
      <c r="H431" s="861">
        <f>SUM(H432:H433)</f>
        <v>0</v>
      </c>
      <c r="I431" s="861">
        <f>SUM(I432:I433)</f>
        <v>0</v>
      </c>
      <c r="J431" s="862">
        <f>SUM(J432:J433)</f>
        <v>0</v>
      </c>
      <c r="K431" s="849"/>
    </row>
    <row r="432" spans="1:226" s="850" customFormat="1" ht="15" hidden="1" customHeight="1">
      <c r="A432" s="1504"/>
      <c r="B432" s="1507"/>
      <c r="C432" s="1541"/>
      <c r="D432" s="1543"/>
      <c r="E432" s="855"/>
      <c r="F432" s="856">
        <f>SUM(G432:J432)</f>
        <v>0</v>
      </c>
      <c r="G432" s="856"/>
      <c r="H432" s="856"/>
      <c r="I432" s="856"/>
      <c r="J432" s="857"/>
      <c r="K432" s="849"/>
    </row>
    <row r="433" spans="1:226" s="850" customFormat="1" ht="15" hidden="1" customHeight="1">
      <c r="A433" s="1504"/>
      <c r="B433" s="1507"/>
      <c r="C433" s="1541"/>
      <c r="D433" s="1543"/>
      <c r="E433" s="855"/>
      <c r="F433" s="856">
        <f>SUM(G433:J433)</f>
        <v>0</v>
      </c>
      <c r="G433" s="856"/>
      <c r="H433" s="856"/>
      <c r="I433" s="856"/>
      <c r="J433" s="857"/>
      <c r="K433" s="849"/>
    </row>
    <row r="434" spans="1:226" s="850" customFormat="1" ht="24.95" customHeight="1">
      <c r="A434" s="1504"/>
      <c r="B434" s="1507"/>
      <c r="C434" s="1541"/>
      <c r="D434" s="1543"/>
      <c r="E434" s="858" t="s">
        <v>977</v>
      </c>
      <c r="F434" s="852">
        <f>SUM(F435:F437)</f>
        <v>2800000</v>
      </c>
      <c r="G434" s="852">
        <f>SUM(G435:G437)</f>
        <v>420000</v>
      </c>
      <c r="H434" s="852">
        <f>SUM(H435:H437)</f>
        <v>2380000</v>
      </c>
      <c r="I434" s="852">
        <f>SUM(I435:I437)</f>
        <v>0</v>
      </c>
      <c r="J434" s="853">
        <f>SUM(J435:J437)</f>
        <v>0</v>
      </c>
      <c r="K434" s="849"/>
    </row>
    <row r="435" spans="1:226" s="849" customFormat="1" ht="15" hidden="1" customHeight="1">
      <c r="A435" s="1504"/>
      <c r="B435" s="1507"/>
      <c r="C435" s="1541"/>
      <c r="D435" s="1543"/>
      <c r="E435" s="855" t="s">
        <v>204</v>
      </c>
      <c r="F435" s="856">
        <f>SUM(G435:J435)</f>
        <v>0</v>
      </c>
      <c r="G435" s="856"/>
      <c r="H435" s="856"/>
      <c r="I435" s="856"/>
      <c r="J435" s="857"/>
    </row>
    <row r="436" spans="1:226" s="850" customFormat="1" ht="15" customHeight="1">
      <c r="A436" s="1504"/>
      <c r="B436" s="1507"/>
      <c r="C436" s="1541"/>
      <c r="D436" s="1543"/>
      <c r="E436" s="855" t="s">
        <v>316</v>
      </c>
      <c r="F436" s="856">
        <f>SUM(G436:J436)</f>
        <v>2380000</v>
      </c>
      <c r="G436" s="856"/>
      <c r="H436" s="856">
        <v>2380000</v>
      </c>
      <c r="I436" s="856"/>
      <c r="J436" s="857"/>
      <c r="K436" s="849"/>
      <c r="L436" s="849"/>
      <c r="M436" s="849"/>
      <c r="N436" s="849"/>
      <c r="O436" s="849"/>
      <c r="P436" s="849"/>
      <c r="Q436" s="849"/>
      <c r="R436" s="849"/>
      <c r="S436" s="849"/>
      <c r="T436" s="849"/>
      <c r="U436" s="849"/>
      <c r="V436" s="849"/>
      <c r="W436" s="849"/>
      <c r="X436" s="849"/>
      <c r="Y436" s="849"/>
      <c r="Z436" s="849"/>
      <c r="AA436" s="849"/>
      <c r="AB436" s="849"/>
      <c r="AC436" s="849"/>
      <c r="AD436" s="849"/>
      <c r="AE436" s="849"/>
      <c r="AF436" s="849"/>
      <c r="AG436" s="849"/>
      <c r="AH436" s="849"/>
      <c r="AI436" s="849"/>
      <c r="AJ436" s="849"/>
      <c r="AK436" s="849"/>
      <c r="AL436" s="849"/>
      <c r="AM436" s="849"/>
      <c r="AN436" s="849"/>
      <c r="AO436" s="849"/>
      <c r="AP436" s="849"/>
      <c r="AQ436" s="849"/>
      <c r="AR436" s="849"/>
      <c r="AS436" s="849"/>
      <c r="AT436" s="849"/>
      <c r="AU436" s="849"/>
      <c r="AV436" s="849"/>
      <c r="AW436" s="849"/>
      <c r="AX436" s="849"/>
      <c r="AY436" s="849"/>
      <c r="AZ436" s="849"/>
      <c r="BA436" s="849"/>
      <c r="BB436" s="849"/>
      <c r="BC436" s="849"/>
      <c r="BD436" s="849"/>
      <c r="BE436" s="849"/>
      <c r="BF436" s="849"/>
      <c r="BG436" s="849"/>
      <c r="BH436" s="849"/>
      <c r="BI436" s="849"/>
      <c r="BJ436" s="849"/>
      <c r="BK436" s="849"/>
      <c r="BL436" s="849"/>
      <c r="BM436" s="849"/>
      <c r="BN436" s="849"/>
      <c r="BO436" s="849"/>
      <c r="BP436" s="849"/>
      <c r="BQ436" s="849"/>
      <c r="BR436" s="849"/>
      <c r="BS436" s="849"/>
      <c r="BT436" s="849"/>
      <c r="BU436" s="849"/>
      <c r="BV436" s="849"/>
      <c r="BW436" s="849"/>
      <c r="BX436" s="849"/>
      <c r="BY436" s="849"/>
      <c r="BZ436" s="849"/>
      <c r="CA436" s="849"/>
      <c r="CB436" s="849"/>
      <c r="CC436" s="849"/>
      <c r="CD436" s="849"/>
      <c r="CE436" s="849"/>
      <c r="CF436" s="849"/>
      <c r="CG436" s="849"/>
      <c r="CH436" s="849"/>
      <c r="CI436" s="849"/>
      <c r="CJ436" s="849"/>
      <c r="CK436" s="849"/>
      <c r="CL436" s="849"/>
      <c r="CM436" s="849"/>
      <c r="CN436" s="849"/>
      <c r="CO436" s="849"/>
      <c r="CP436" s="849"/>
      <c r="CQ436" s="849"/>
      <c r="CR436" s="849"/>
      <c r="CS436" s="849"/>
      <c r="CT436" s="849"/>
      <c r="CU436" s="849"/>
      <c r="CV436" s="849"/>
      <c r="CW436" s="849"/>
      <c r="CX436" s="849"/>
      <c r="CY436" s="849"/>
      <c r="CZ436" s="849"/>
      <c r="DA436" s="849"/>
      <c r="DB436" s="849"/>
      <c r="DC436" s="849"/>
      <c r="DD436" s="849"/>
      <c r="DE436" s="849"/>
      <c r="DF436" s="849"/>
      <c r="DG436" s="849"/>
      <c r="DH436" s="849"/>
      <c r="DI436" s="849"/>
      <c r="DJ436" s="849"/>
      <c r="DK436" s="849"/>
      <c r="DL436" s="849"/>
      <c r="DM436" s="849"/>
      <c r="DN436" s="849"/>
      <c r="DO436" s="849"/>
      <c r="DP436" s="849"/>
      <c r="DQ436" s="849"/>
      <c r="DR436" s="849"/>
      <c r="DS436" s="849"/>
      <c r="DT436" s="849"/>
      <c r="DU436" s="849"/>
      <c r="DV436" s="849"/>
      <c r="DW436" s="849"/>
      <c r="DX436" s="849"/>
      <c r="DY436" s="849"/>
      <c r="DZ436" s="849"/>
      <c r="EA436" s="849"/>
      <c r="EB436" s="849"/>
      <c r="EC436" s="849"/>
      <c r="ED436" s="849"/>
      <c r="EE436" s="849"/>
      <c r="EF436" s="849"/>
      <c r="EG436" s="849"/>
      <c r="EH436" s="849"/>
      <c r="EI436" s="849"/>
      <c r="EJ436" s="849"/>
      <c r="EK436" s="849"/>
      <c r="EL436" s="849"/>
      <c r="EM436" s="849"/>
      <c r="EN436" s="849"/>
      <c r="EO436" s="849"/>
      <c r="EP436" s="849"/>
      <c r="EQ436" s="849"/>
      <c r="ER436" s="849"/>
      <c r="ES436" s="849"/>
      <c r="ET436" s="849"/>
      <c r="EU436" s="849"/>
      <c r="EV436" s="849"/>
      <c r="EW436" s="849"/>
      <c r="EX436" s="849"/>
      <c r="EY436" s="849"/>
      <c r="EZ436" s="849"/>
      <c r="FA436" s="849"/>
      <c r="FB436" s="849"/>
      <c r="FC436" s="849"/>
      <c r="FD436" s="849"/>
      <c r="FE436" s="849"/>
      <c r="FF436" s="849"/>
      <c r="FG436" s="849"/>
      <c r="FH436" s="849"/>
      <c r="FI436" s="849"/>
      <c r="FJ436" s="849"/>
      <c r="FK436" s="849"/>
      <c r="FL436" s="849"/>
      <c r="FM436" s="849"/>
      <c r="FN436" s="849"/>
      <c r="FO436" s="849"/>
      <c r="FP436" s="849"/>
      <c r="FQ436" s="849"/>
      <c r="FR436" s="849"/>
      <c r="FS436" s="849"/>
      <c r="FT436" s="849"/>
      <c r="FU436" s="849"/>
      <c r="FV436" s="849"/>
      <c r="FW436" s="849"/>
      <c r="FX436" s="849"/>
      <c r="FY436" s="849"/>
      <c r="FZ436" s="849"/>
      <c r="GA436" s="849"/>
      <c r="GB436" s="849"/>
      <c r="GC436" s="849"/>
      <c r="GD436" s="849"/>
      <c r="GE436" s="849"/>
      <c r="GF436" s="849"/>
      <c r="GG436" s="849"/>
      <c r="GH436" s="849"/>
      <c r="GI436" s="849"/>
      <c r="GJ436" s="849"/>
      <c r="GK436" s="849"/>
      <c r="GL436" s="849"/>
      <c r="GM436" s="849"/>
      <c r="GN436" s="849"/>
      <c r="GO436" s="849"/>
      <c r="GP436" s="849"/>
      <c r="GQ436" s="849"/>
      <c r="GR436" s="849"/>
      <c r="GS436" s="849"/>
      <c r="GT436" s="849"/>
      <c r="GU436" s="849"/>
      <c r="GV436" s="849"/>
      <c r="GW436" s="849"/>
      <c r="GX436" s="849"/>
      <c r="GY436" s="849"/>
      <c r="GZ436" s="849"/>
      <c r="HA436" s="849"/>
      <c r="HB436" s="849"/>
      <c r="HC436" s="849"/>
      <c r="HD436" s="849"/>
      <c r="HE436" s="849"/>
      <c r="HF436" s="849"/>
      <c r="HG436" s="849"/>
      <c r="HH436" s="849"/>
      <c r="HI436" s="849"/>
      <c r="HJ436" s="849"/>
      <c r="HK436" s="849"/>
      <c r="HL436" s="849"/>
      <c r="HM436" s="849"/>
      <c r="HN436" s="849"/>
      <c r="HO436" s="849"/>
      <c r="HP436" s="849"/>
      <c r="HQ436" s="849"/>
      <c r="HR436" s="849"/>
    </row>
    <row r="437" spans="1:226" s="850" customFormat="1" ht="15" customHeight="1">
      <c r="A437" s="1505"/>
      <c r="B437" s="1508"/>
      <c r="C437" s="1517"/>
      <c r="D437" s="1544"/>
      <c r="E437" s="897">
        <v>6059</v>
      </c>
      <c r="F437" s="856">
        <f>SUM(G437:J437)</f>
        <v>420000</v>
      </c>
      <c r="G437" s="856">
        <v>420000</v>
      </c>
      <c r="H437" s="856"/>
      <c r="I437" s="856"/>
      <c r="J437" s="857"/>
      <c r="K437" s="849"/>
    </row>
    <row r="438" spans="1:226" s="850" customFormat="1" ht="24.95" customHeight="1">
      <c r="A438" s="1503" t="s">
        <v>1004</v>
      </c>
      <c r="B438" s="1506" t="s">
        <v>1032</v>
      </c>
      <c r="C438" s="1516">
        <v>600</v>
      </c>
      <c r="D438" s="1542" t="s">
        <v>310</v>
      </c>
      <c r="E438" s="846" t="s">
        <v>976</v>
      </c>
      <c r="F438" s="847">
        <f>SUM(F439,F446)</f>
        <v>1600000</v>
      </c>
      <c r="G438" s="847">
        <f>SUM(G439,G446)</f>
        <v>240000</v>
      </c>
      <c r="H438" s="847">
        <f>SUM(H439,H446)</f>
        <v>1360000</v>
      </c>
      <c r="I438" s="847">
        <f>SUM(I439,I446)</f>
        <v>0</v>
      </c>
      <c r="J438" s="848">
        <f>SUM(J439,J446)</f>
        <v>0</v>
      </c>
      <c r="K438" s="849"/>
    </row>
    <row r="439" spans="1:226" s="850" customFormat="1" ht="24.95" customHeight="1">
      <c r="A439" s="1504"/>
      <c r="B439" s="1507"/>
      <c r="C439" s="1541"/>
      <c r="D439" s="1543"/>
      <c r="E439" s="851" t="s">
        <v>383</v>
      </c>
      <c r="F439" s="852">
        <f>SUM(F440,F443)</f>
        <v>0</v>
      </c>
      <c r="G439" s="852">
        <f>SUM(G440,G443)</f>
        <v>0</v>
      </c>
      <c r="H439" s="852">
        <f>SUM(H440,H443)</f>
        <v>0</v>
      </c>
      <c r="I439" s="852">
        <f>SUM(I440,I443)</f>
        <v>0</v>
      </c>
      <c r="J439" s="853">
        <f>SUM(J440,J443)</f>
        <v>0</v>
      </c>
      <c r="K439" s="849"/>
    </row>
    <row r="440" spans="1:226" s="850" customFormat="1" ht="24.95" hidden="1" customHeight="1">
      <c r="A440" s="1504"/>
      <c r="B440" s="1507"/>
      <c r="C440" s="1541"/>
      <c r="D440" s="1543"/>
      <c r="E440" s="860" t="s">
        <v>981</v>
      </c>
      <c r="F440" s="861">
        <f>SUM(F441:F442)</f>
        <v>0</v>
      </c>
      <c r="G440" s="861">
        <f>SUM(G441:G442)</f>
        <v>0</v>
      </c>
      <c r="H440" s="861">
        <f>SUM(H441:H442)</f>
        <v>0</v>
      </c>
      <c r="I440" s="861">
        <f>SUM(I441:I442)</f>
        <v>0</v>
      </c>
      <c r="J440" s="862">
        <f>SUM(J441:J442)</f>
        <v>0</v>
      </c>
      <c r="K440" s="849"/>
    </row>
    <row r="441" spans="1:226" s="850" customFormat="1" ht="15" hidden="1" customHeight="1">
      <c r="A441" s="1504"/>
      <c r="B441" s="1507"/>
      <c r="C441" s="1541"/>
      <c r="D441" s="1543"/>
      <c r="E441" s="855"/>
      <c r="F441" s="856">
        <f>SUM(G441:J441)</f>
        <v>0</v>
      </c>
      <c r="G441" s="856"/>
      <c r="H441" s="856"/>
      <c r="I441" s="856"/>
      <c r="J441" s="857"/>
      <c r="K441" s="849"/>
    </row>
    <row r="442" spans="1:226" s="850" customFormat="1" ht="15" hidden="1" customHeight="1">
      <c r="A442" s="1504"/>
      <c r="B442" s="1507"/>
      <c r="C442" s="1541"/>
      <c r="D442" s="1543"/>
      <c r="E442" s="855"/>
      <c r="F442" s="856">
        <f>SUM(G442:J442)</f>
        <v>0</v>
      </c>
      <c r="G442" s="856"/>
      <c r="H442" s="856"/>
      <c r="I442" s="856"/>
      <c r="J442" s="857"/>
      <c r="K442" s="849"/>
    </row>
    <row r="443" spans="1:226" s="850" customFormat="1" ht="24.95" hidden="1" customHeight="1">
      <c r="A443" s="1504"/>
      <c r="B443" s="1507"/>
      <c r="C443" s="1541"/>
      <c r="D443" s="1543"/>
      <c r="E443" s="860" t="s">
        <v>982</v>
      </c>
      <c r="F443" s="861">
        <f>SUM(F444:F445)</f>
        <v>0</v>
      </c>
      <c r="G443" s="861">
        <f>SUM(G444:G445)</f>
        <v>0</v>
      </c>
      <c r="H443" s="861">
        <f>SUM(H444:H445)</f>
        <v>0</v>
      </c>
      <c r="I443" s="861">
        <f>SUM(I444:I445)</f>
        <v>0</v>
      </c>
      <c r="J443" s="862">
        <f>SUM(J444:J445)</f>
        <v>0</v>
      </c>
      <c r="K443" s="849"/>
    </row>
    <row r="444" spans="1:226" s="850" customFormat="1" ht="15" hidden="1" customHeight="1">
      <c r="A444" s="1504"/>
      <c r="B444" s="1507"/>
      <c r="C444" s="1541"/>
      <c r="D444" s="1543"/>
      <c r="E444" s="855"/>
      <c r="F444" s="856">
        <f>SUM(G444:J444)</f>
        <v>0</v>
      </c>
      <c r="G444" s="856"/>
      <c r="H444" s="856"/>
      <c r="I444" s="856"/>
      <c r="J444" s="857"/>
      <c r="K444" s="849"/>
    </row>
    <row r="445" spans="1:226" s="850" customFormat="1" ht="15" hidden="1" customHeight="1">
      <c r="A445" s="1504"/>
      <c r="B445" s="1507"/>
      <c r="C445" s="1541"/>
      <c r="D445" s="1543"/>
      <c r="E445" s="855"/>
      <c r="F445" s="856">
        <f>SUM(G445:J445)</f>
        <v>0</v>
      </c>
      <c r="G445" s="856"/>
      <c r="H445" s="856"/>
      <c r="I445" s="856"/>
      <c r="J445" s="857"/>
      <c r="K445" s="849"/>
    </row>
    <row r="446" spans="1:226" s="850" customFormat="1" ht="24.95" customHeight="1">
      <c r="A446" s="1504"/>
      <c r="B446" s="1507"/>
      <c r="C446" s="1541"/>
      <c r="D446" s="1543"/>
      <c r="E446" s="858" t="s">
        <v>977</v>
      </c>
      <c r="F446" s="852">
        <f>SUM(F447:F451)</f>
        <v>1600000</v>
      </c>
      <c r="G446" s="852">
        <f>SUM(G447:G451)</f>
        <v>240000</v>
      </c>
      <c r="H446" s="852">
        <f>SUM(H447:H451)</f>
        <v>1360000</v>
      </c>
      <c r="I446" s="852">
        <f>SUM(I447:I451)</f>
        <v>0</v>
      </c>
      <c r="J446" s="853">
        <f>SUM(J447:J451)</f>
        <v>0</v>
      </c>
      <c r="K446" s="849"/>
    </row>
    <row r="447" spans="1:226" s="849" customFormat="1" ht="15" hidden="1" customHeight="1">
      <c r="A447" s="1504"/>
      <c r="B447" s="1507"/>
      <c r="C447" s="1541"/>
      <c r="D447" s="1543"/>
      <c r="E447" s="855" t="s">
        <v>204</v>
      </c>
      <c r="F447" s="856">
        <f>SUM(G447:J447)</f>
        <v>0</v>
      </c>
      <c r="G447" s="856"/>
      <c r="H447" s="856"/>
      <c r="I447" s="856"/>
      <c r="J447" s="857"/>
    </row>
    <row r="448" spans="1:226" s="850" customFormat="1" ht="15" customHeight="1">
      <c r="A448" s="1504"/>
      <c r="B448" s="1507"/>
      <c r="C448" s="1541"/>
      <c r="D448" s="1543"/>
      <c r="E448" s="855" t="s">
        <v>316</v>
      </c>
      <c r="F448" s="856">
        <f>SUM(G448:J448)</f>
        <v>1360000</v>
      </c>
      <c r="G448" s="856"/>
      <c r="H448" s="856">
        <v>1360000</v>
      </c>
      <c r="I448" s="856"/>
      <c r="J448" s="857"/>
      <c r="K448" s="849"/>
      <c r="L448" s="849"/>
      <c r="M448" s="849"/>
      <c r="N448" s="849"/>
      <c r="O448" s="849"/>
      <c r="P448" s="849"/>
      <c r="Q448" s="849"/>
      <c r="R448" s="849"/>
      <c r="S448" s="849"/>
      <c r="T448" s="849"/>
      <c r="U448" s="849"/>
      <c r="V448" s="849"/>
      <c r="W448" s="849"/>
      <c r="X448" s="849"/>
      <c r="Y448" s="849"/>
      <c r="Z448" s="849"/>
      <c r="AA448" s="849"/>
      <c r="AB448" s="849"/>
      <c r="AC448" s="849"/>
      <c r="AD448" s="849"/>
      <c r="AE448" s="849"/>
      <c r="AF448" s="849"/>
      <c r="AG448" s="849"/>
      <c r="AH448" s="849"/>
      <c r="AI448" s="849"/>
      <c r="AJ448" s="849"/>
      <c r="AK448" s="849"/>
      <c r="AL448" s="849"/>
      <c r="AM448" s="849"/>
      <c r="AN448" s="849"/>
      <c r="AO448" s="849"/>
      <c r="AP448" s="849"/>
      <c r="AQ448" s="849"/>
      <c r="AR448" s="849"/>
      <c r="AS448" s="849"/>
      <c r="AT448" s="849"/>
      <c r="AU448" s="849"/>
      <c r="AV448" s="849"/>
      <c r="AW448" s="849"/>
      <c r="AX448" s="849"/>
      <c r="AY448" s="849"/>
      <c r="AZ448" s="849"/>
      <c r="BA448" s="849"/>
      <c r="BB448" s="849"/>
      <c r="BC448" s="849"/>
      <c r="BD448" s="849"/>
      <c r="BE448" s="849"/>
      <c r="BF448" s="849"/>
      <c r="BG448" s="849"/>
      <c r="BH448" s="849"/>
      <c r="BI448" s="849"/>
      <c r="BJ448" s="849"/>
      <c r="BK448" s="849"/>
      <c r="BL448" s="849"/>
      <c r="BM448" s="849"/>
      <c r="BN448" s="849"/>
      <c r="BO448" s="849"/>
      <c r="BP448" s="849"/>
      <c r="BQ448" s="849"/>
      <c r="BR448" s="849"/>
      <c r="BS448" s="849"/>
      <c r="BT448" s="849"/>
      <c r="BU448" s="849"/>
      <c r="BV448" s="849"/>
      <c r="BW448" s="849"/>
      <c r="BX448" s="849"/>
      <c r="BY448" s="849"/>
      <c r="BZ448" s="849"/>
      <c r="CA448" s="849"/>
      <c r="CB448" s="849"/>
      <c r="CC448" s="849"/>
      <c r="CD448" s="849"/>
      <c r="CE448" s="849"/>
      <c r="CF448" s="849"/>
      <c r="CG448" s="849"/>
      <c r="CH448" s="849"/>
      <c r="CI448" s="849"/>
      <c r="CJ448" s="849"/>
      <c r="CK448" s="849"/>
      <c r="CL448" s="849"/>
      <c r="CM448" s="849"/>
      <c r="CN448" s="849"/>
      <c r="CO448" s="849"/>
      <c r="CP448" s="849"/>
      <c r="CQ448" s="849"/>
      <c r="CR448" s="849"/>
      <c r="CS448" s="849"/>
      <c r="CT448" s="849"/>
      <c r="CU448" s="849"/>
      <c r="CV448" s="849"/>
      <c r="CW448" s="849"/>
      <c r="CX448" s="849"/>
      <c r="CY448" s="849"/>
      <c r="CZ448" s="849"/>
      <c r="DA448" s="849"/>
      <c r="DB448" s="849"/>
      <c r="DC448" s="849"/>
      <c r="DD448" s="849"/>
      <c r="DE448" s="849"/>
      <c r="DF448" s="849"/>
      <c r="DG448" s="849"/>
      <c r="DH448" s="849"/>
      <c r="DI448" s="849"/>
      <c r="DJ448" s="849"/>
      <c r="DK448" s="849"/>
      <c r="DL448" s="849"/>
      <c r="DM448" s="849"/>
      <c r="DN448" s="849"/>
      <c r="DO448" s="849"/>
      <c r="DP448" s="849"/>
      <c r="DQ448" s="849"/>
      <c r="DR448" s="849"/>
      <c r="DS448" s="849"/>
      <c r="DT448" s="849"/>
      <c r="DU448" s="849"/>
      <c r="DV448" s="849"/>
      <c r="DW448" s="849"/>
      <c r="DX448" s="849"/>
      <c r="DY448" s="849"/>
      <c r="DZ448" s="849"/>
      <c r="EA448" s="849"/>
      <c r="EB448" s="849"/>
      <c r="EC448" s="849"/>
      <c r="ED448" s="849"/>
      <c r="EE448" s="849"/>
      <c r="EF448" s="849"/>
      <c r="EG448" s="849"/>
      <c r="EH448" s="849"/>
      <c r="EI448" s="849"/>
      <c r="EJ448" s="849"/>
      <c r="EK448" s="849"/>
      <c r="EL448" s="849"/>
      <c r="EM448" s="849"/>
      <c r="EN448" s="849"/>
      <c r="EO448" s="849"/>
      <c r="EP448" s="849"/>
      <c r="EQ448" s="849"/>
      <c r="ER448" s="849"/>
      <c r="ES448" s="849"/>
      <c r="ET448" s="849"/>
      <c r="EU448" s="849"/>
      <c r="EV448" s="849"/>
      <c r="EW448" s="849"/>
      <c r="EX448" s="849"/>
      <c r="EY448" s="849"/>
      <c r="EZ448" s="849"/>
      <c r="FA448" s="849"/>
      <c r="FB448" s="849"/>
      <c r="FC448" s="849"/>
      <c r="FD448" s="849"/>
      <c r="FE448" s="849"/>
      <c r="FF448" s="849"/>
      <c r="FG448" s="849"/>
      <c r="FH448" s="849"/>
      <c r="FI448" s="849"/>
      <c r="FJ448" s="849"/>
      <c r="FK448" s="849"/>
      <c r="FL448" s="849"/>
      <c r="FM448" s="849"/>
      <c r="FN448" s="849"/>
      <c r="FO448" s="849"/>
      <c r="FP448" s="849"/>
      <c r="FQ448" s="849"/>
      <c r="FR448" s="849"/>
      <c r="FS448" s="849"/>
      <c r="FT448" s="849"/>
      <c r="FU448" s="849"/>
      <c r="FV448" s="849"/>
      <c r="FW448" s="849"/>
      <c r="FX448" s="849"/>
      <c r="FY448" s="849"/>
      <c r="FZ448" s="849"/>
      <c r="GA448" s="849"/>
      <c r="GB448" s="849"/>
      <c r="GC448" s="849"/>
      <c r="GD448" s="849"/>
      <c r="GE448" s="849"/>
      <c r="GF448" s="849"/>
      <c r="GG448" s="849"/>
      <c r="GH448" s="849"/>
      <c r="GI448" s="849"/>
      <c r="GJ448" s="849"/>
      <c r="GK448" s="849"/>
      <c r="GL448" s="849"/>
      <c r="GM448" s="849"/>
      <c r="GN448" s="849"/>
      <c r="GO448" s="849"/>
      <c r="GP448" s="849"/>
      <c r="GQ448" s="849"/>
      <c r="GR448" s="849"/>
      <c r="GS448" s="849"/>
      <c r="GT448" s="849"/>
      <c r="GU448" s="849"/>
      <c r="GV448" s="849"/>
      <c r="GW448" s="849"/>
      <c r="GX448" s="849"/>
      <c r="GY448" s="849"/>
      <c r="GZ448" s="849"/>
      <c r="HA448" s="849"/>
      <c r="HB448" s="849"/>
      <c r="HC448" s="849"/>
      <c r="HD448" s="849"/>
      <c r="HE448" s="849"/>
      <c r="HF448" s="849"/>
      <c r="HG448" s="849"/>
      <c r="HH448" s="849"/>
      <c r="HI448" s="849"/>
      <c r="HJ448" s="849"/>
      <c r="HK448" s="849"/>
      <c r="HL448" s="849"/>
      <c r="HM448" s="849"/>
      <c r="HN448" s="849"/>
      <c r="HO448" s="849"/>
      <c r="HP448" s="849"/>
      <c r="HQ448" s="849"/>
      <c r="HR448" s="849"/>
    </row>
    <row r="449" spans="1:226" s="850" customFormat="1" ht="15" customHeight="1">
      <c r="A449" s="1504"/>
      <c r="B449" s="1507"/>
      <c r="C449" s="1541"/>
      <c r="D449" s="1543"/>
      <c r="E449" s="910">
        <v>6059</v>
      </c>
      <c r="F449" s="911">
        <f>SUM(G449:J449)</f>
        <v>240000</v>
      </c>
      <c r="G449" s="911">
        <v>240000</v>
      </c>
      <c r="H449" s="911"/>
      <c r="I449" s="911"/>
      <c r="J449" s="912"/>
      <c r="K449" s="849"/>
    </row>
    <row r="450" spans="1:226" s="850" customFormat="1" ht="15" hidden="1" customHeight="1">
      <c r="A450" s="1504"/>
      <c r="B450" s="1507"/>
      <c r="C450" s="1541"/>
      <c r="D450" s="1543"/>
      <c r="E450" s="859" t="s">
        <v>303</v>
      </c>
      <c r="F450" s="911">
        <f>SUM(G450:J450)</f>
        <v>0</v>
      </c>
      <c r="G450" s="911"/>
      <c r="H450" s="911"/>
      <c r="I450" s="911"/>
      <c r="J450" s="912"/>
      <c r="K450" s="849"/>
    </row>
    <row r="451" spans="1:226" s="850" customFormat="1" ht="15" hidden="1" customHeight="1">
      <c r="A451" s="1505"/>
      <c r="B451" s="1508"/>
      <c r="C451" s="1517"/>
      <c r="D451" s="1544"/>
      <c r="E451" s="897">
        <v>6069</v>
      </c>
      <c r="F451" s="911">
        <f>SUM(G451:J451)</f>
        <v>0</v>
      </c>
      <c r="G451" s="911"/>
      <c r="H451" s="911"/>
      <c r="I451" s="911"/>
      <c r="J451" s="912"/>
      <c r="K451" s="849"/>
    </row>
    <row r="452" spans="1:226" s="850" customFormat="1" ht="24.95" customHeight="1">
      <c r="A452" s="1503" t="s">
        <v>1006</v>
      </c>
      <c r="B452" s="1506" t="s">
        <v>1076</v>
      </c>
      <c r="C452" s="1516">
        <v>600</v>
      </c>
      <c r="D452" s="1542" t="s">
        <v>310</v>
      </c>
      <c r="E452" s="846" t="s">
        <v>976</v>
      </c>
      <c r="F452" s="847">
        <f>SUM(F453,F460)</f>
        <v>600000</v>
      </c>
      <c r="G452" s="847">
        <f>SUM(G453,G460)</f>
        <v>0</v>
      </c>
      <c r="H452" s="847">
        <f>SUM(H453,H460)</f>
        <v>510000</v>
      </c>
      <c r="I452" s="847">
        <f>SUM(I453,I460)</f>
        <v>0</v>
      </c>
      <c r="J452" s="848">
        <f>SUM(J453,J460)</f>
        <v>90000</v>
      </c>
      <c r="K452" s="849"/>
    </row>
    <row r="453" spans="1:226" s="850" customFormat="1" ht="24.95" customHeight="1">
      <c r="A453" s="1504"/>
      <c r="B453" s="1507"/>
      <c r="C453" s="1541"/>
      <c r="D453" s="1543"/>
      <c r="E453" s="851" t="s">
        <v>383</v>
      </c>
      <c r="F453" s="852">
        <f>SUM(F454,F457)</f>
        <v>0</v>
      </c>
      <c r="G453" s="852">
        <f>SUM(G454,G457)</f>
        <v>0</v>
      </c>
      <c r="H453" s="852">
        <f>SUM(H454,H457)</f>
        <v>0</v>
      </c>
      <c r="I453" s="852">
        <f>SUM(I454,I457)</f>
        <v>0</v>
      </c>
      <c r="J453" s="853">
        <f>SUM(J454,J457)</f>
        <v>0</v>
      </c>
      <c r="K453" s="849"/>
    </row>
    <row r="454" spans="1:226" s="850" customFormat="1" ht="24.95" hidden="1" customHeight="1">
      <c r="A454" s="1504"/>
      <c r="B454" s="1507"/>
      <c r="C454" s="1541"/>
      <c r="D454" s="1543"/>
      <c r="E454" s="860" t="s">
        <v>981</v>
      </c>
      <c r="F454" s="861">
        <f>SUM(F455:F456)</f>
        <v>0</v>
      </c>
      <c r="G454" s="861">
        <f>SUM(G455:G456)</f>
        <v>0</v>
      </c>
      <c r="H454" s="861">
        <f>SUM(H455:H456)</f>
        <v>0</v>
      </c>
      <c r="I454" s="861">
        <f>SUM(I455:I456)</f>
        <v>0</v>
      </c>
      <c r="J454" s="862">
        <f>SUM(J455:J456)</f>
        <v>0</v>
      </c>
      <c r="K454" s="849"/>
    </row>
    <row r="455" spans="1:226" s="850" customFormat="1" ht="15" hidden="1" customHeight="1">
      <c r="A455" s="1504"/>
      <c r="B455" s="1507"/>
      <c r="C455" s="1541"/>
      <c r="D455" s="1543"/>
      <c r="E455" s="855"/>
      <c r="F455" s="856">
        <f>SUM(G455:J455)</f>
        <v>0</v>
      </c>
      <c r="G455" s="856"/>
      <c r="H455" s="856"/>
      <c r="I455" s="856"/>
      <c r="J455" s="857"/>
      <c r="K455" s="849"/>
    </row>
    <row r="456" spans="1:226" s="850" customFormat="1" ht="15" hidden="1" customHeight="1">
      <c r="A456" s="1504"/>
      <c r="B456" s="1507"/>
      <c r="C456" s="1541"/>
      <c r="D456" s="1543"/>
      <c r="E456" s="855"/>
      <c r="F456" s="856">
        <f>SUM(G456:J456)</f>
        <v>0</v>
      </c>
      <c r="G456" s="856"/>
      <c r="H456" s="856"/>
      <c r="I456" s="856"/>
      <c r="J456" s="857"/>
      <c r="K456" s="849"/>
    </row>
    <row r="457" spans="1:226" s="850" customFormat="1" ht="24.95" hidden="1" customHeight="1">
      <c r="A457" s="1504"/>
      <c r="B457" s="1507"/>
      <c r="C457" s="1541"/>
      <c r="D457" s="1543"/>
      <c r="E457" s="860" t="s">
        <v>982</v>
      </c>
      <c r="F457" s="861">
        <f>SUM(F458:F459)</f>
        <v>0</v>
      </c>
      <c r="G457" s="861">
        <f>SUM(G458:G459)</f>
        <v>0</v>
      </c>
      <c r="H457" s="861">
        <f>SUM(H458:H459)</f>
        <v>0</v>
      </c>
      <c r="I457" s="861">
        <f>SUM(I458:I459)</f>
        <v>0</v>
      </c>
      <c r="J457" s="862">
        <f>SUM(J458:J459)</f>
        <v>0</v>
      </c>
      <c r="K457" s="849"/>
    </row>
    <row r="458" spans="1:226" s="850" customFormat="1" ht="15" hidden="1" customHeight="1">
      <c r="A458" s="1504"/>
      <c r="B458" s="1507"/>
      <c r="C458" s="1541"/>
      <c r="D458" s="1543"/>
      <c r="E458" s="855"/>
      <c r="F458" s="856">
        <f>SUM(G458:J458)</f>
        <v>0</v>
      </c>
      <c r="G458" s="856"/>
      <c r="H458" s="856"/>
      <c r="I458" s="856"/>
      <c r="J458" s="857"/>
      <c r="K458" s="849"/>
    </row>
    <row r="459" spans="1:226" s="850" customFormat="1" ht="15" hidden="1" customHeight="1">
      <c r="A459" s="1504"/>
      <c r="B459" s="1507"/>
      <c r="C459" s="1541"/>
      <c r="D459" s="1543"/>
      <c r="E459" s="855"/>
      <c r="F459" s="856">
        <f>SUM(G459:J459)</f>
        <v>0</v>
      </c>
      <c r="G459" s="856"/>
      <c r="H459" s="856"/>
      <c r="I459" s="856"/>
      <c r="J459" s="857"/>
      <c r="K459" s="849"/>
    </row>
    <row r="460" spans="1:226" s="850" customFormat="1" ht="24.95" customHeight="1">
      <c r="A460" s="1504"/>
      <c r="B460" s="1507"/>
      <c r="C460" s="1541"/>
      <c r="D460" s="1543"/>
      <c r="E460" s="858" t="s">
        <v>977</v>
      </c>
      <c r="F460" s="852">
        <f>SUM(F461:F465)</f>
        <v>600000</v>
      </c>
      <c r="G460" s="852">
        <f>SUM(G461:G465)</f>
        <v>0</v>
      </c>
      <c r="H460" s="852">
        <f>SUM(H461:H465)</f>
        <v>510000</v>
      </c>
      <c r="I460" s="852">
        <f>SUM(I461:I465)</f>
        <v>0</v>
      </c>
      <c r="J460" s="853">
        <f>SUM(J461:J465)</f>
        <v>90000</v>
      </c>
      <c r="K460" s="849"/>
    </row>
    <row r="461" spans="1:226" s="849" customFormat="1" ht="15" hidden="1" customHeight="1">
      <c r="A461" s="1504"/>
      <c r="B461" s="1507"/>
      <c r="C461" s="1541"/>
      <c r="D461" s="1543"/>
      <c r="E461" s="855" t="s">
        <v>204</v>
      </c>
      <c r="F461" s="856">
        <f>SUM(G461:J461)</f>
        <v>0</v>
      </c>
      <c r="G461" s="856"/>
      <c r="H461" s="856"/>
      <c r="I461" s="856"/>
      <c r="J461" s="857"/>
    </row>
    <row r="462" spans="1:226" s="850" customFormat="1" ht="15" customHeight="1">
      <c r="A462" s="1504"/>
      <c r="B462" s="1507"/>
      <c r="C462" s="1541"/>
      <c r="D462" s="1543"/>
      <c r="E462" s="855" t="s">
        <v>316</v>
      </c>
      <c r="F462" s="856">
        <f>SUM(G462:J462)</f>
        <v>510000</v>
      </c>
      <c r="G462" s="856"/>
      <c r="H462" s="856">
        <v>510000</v>
      </c>
      <c r="I462" s="856"/>
      <c r="J462" s="857"/>
      <c r="K462" s="849"/>
      <c r="L462" s="849"/>
      <c r="M462" s="849"/>
      <c r="N462" s="849"/>
      <c r="O462" s="849"/>
      <c r="P462" s="849"/>
      <c r="Q462" s="849"/>
      <c r="R462" s="849"/>
      <c r="S462" s="849"/>
      <c r="T462" s="849"/>
      <c r="U462" s="849"/>
      <c r="V462" s="849"/>
      <c r="W462" s="849"/>
      <c r="X462" s="849"/>
      <c r="Y462" s="849"/>
      <c r="Z462" s="849"/>
      <c r="AA462" s="849"/>
      <c r="AB462" s="849"/>
      <c r="AC462" s="849"/>
      <c r="AD462" s="849"/>
      <c r="AE462" s="849"/>
      <c r="AF462" s="849"/>
      <c r="AG462" s="849"/>
      <c r="AH462" s="849"/>
      <c r="AI462" s="849"/>
      <c r="AJ462" s="849"/>
      <c r="AK462" s="849"/>
      <c r="AL462" s="849"/>
      <c r="AM462" s="849"/>
      <c r="AN462" s="849"/>
      <c r="AO462" s="849"/>
      <c r="AP462" s="849"/>
      <c r="AQ462" s="849"/>
      <c r="AR462" s="849"/>
      <c r="AS462" s="849"/>
      <c r="AT462" s="849"/>
      <c r="AU462" s="849"/>
      <c r="AV462" s="849"/>
      <c r="AW462" s="849"/>
      <c r="AX462" s="849"/>
      <c r="AY462" s="849"/>
      <c r="AZ462" s="849"/>
      <c r="BA462" s="849"/>
      <c r="BB462" s="849"/>
      <c r="BC462" s="849"/>
      <c r="BD462" s="849"/>
      <c r="BE462" s="849"/>
      <c r="BF462" s="849"/>
      <c r="BG462" s="849"/>
      <c r="BH462" s="849"/>
      <c r="BI462" s="849"/>
      <c r="BJ462" s="849"/>
      <c r="BK462" s="849"/>
      <c r="BL462" s="849"/>
      <c r="BM462" s="849"/>
      <c r="BN462" s="849"/>
      <c r="BO462" s="849"/>
      <c r="BP462" s="849"/>
      <c r="BQ462" s="849"/>
      <c r="BR462" s="849"/>
      <c r="BS462" s="849"/>
      <c r="BT462" s="849"/>
      <c r="BU462" s="849"/>
      <c r="BV462" s="849"/>
      <c r="BW462" s="849"/>
      <c r="BX462" s="849"/>
      <c r="BY462" s="849"/>
      <c r="BZ462" s="849"/>
      <c r="CA462" s="849"/>
      <c r="CB462" s="849"/>
      <c r="CC462" s="849"/>
      <c r="CD462" s="849"/>
      <c r="CE462" s="849"/>
      <c r="CF462" s="849"/>
      <c r="CG462" s="849"/>
      <c r="CH462" s="849"/>
      <c r="CI462" s="849"/>
      <c r="CJ462" s="849"/>
      <c r="CK462" s="849"/>
      <c r="CL462" s="849"/>
      <c r="CM462" s="849"/>
      <c r="CN462" s="849"/>
      <c r="CO462" s="849"/>
      <c r="CP462" s="849"/>
      <c r="CQ462" s="849"/>
      <c r="CR462" s="849"/>
      <c r="CS462" s="849"/>
      <c r="CT462" s="849"/>
      <c r="CU462" s="849"/>
      <c r="CV462" s="849"/>
      <c r="CW462" s="849"/>
      <c r="CX462" s="849"/>
      <c r="CY462" s="849"/>
      <c r="CZ462" s="849"/>
      <c r="DA462" s="849"/>
      <c r="DB462" s="849"/>
      <c r="DC462" s="849"/>
      <c r="DD462" s="849"/>
      <c r="DE462" s="849"/>
      <c r="DF462" s="849"/>
      <c r="DG462" s="849"/>
      <c r="DH462" s="849"/>
      <c r="DI462" s="849"/>
      <c r="DJ462" s="849"/>
      <c r="DK462" s="849"/>
      <c r="DL462" s="849"/>
      <c r="DM462" s="849"/>
      <c r="DN462" s="849"/>
      <c r="DO462" s="849"/>
      <c r="DP462" s="849"/>
      <c r="DQ462" s="849"/>
      <c r="DR462" s="849"/>
      <c r="DS462" s="849"/>
      <c r="DT462" s="849"/>
      <c r="DU462" s="849"/>
      <c r="DV462" s="849"/>
      <c r="DW462" s="849"/>
      <c r="DX462" s="849"/>
      <c r="DY462" s="849"/>
      <c r="DZ462" s="849"/>
      <c r="EA462" s="849"/>
      <c r="EB462" s="849"/>
      <c r="EC462" s="849"/>
      <c r="ED462" s="849"/>
      <c r="EE462" s="849"/>
      <c r="EF462" s="849"/>
      <c r="EG462" s="849"/>
      <c r="EH462" s="849"/>
      <c r="EI462" s="849"/>
      <c r="EJ462" s="849"/>
      <c r="EK462" s="849"/>
      <c r="EL462" s="849"/>
      <c r="EM462" s="849"/>
      <c r="EN462" s="849"/>
      <c r="EO462" s="849"/>
      <c r="EP462" s="849"/>
      <c r="EQ462" s="849"/>
      <c r="ER462" s="849"/>
      <c r="ES462" s="849"/>
      <c r="ET462" s="849"/>
      <c r="EU462" s="849"/>
      <c r="EV462" s="849"/>
      <c r="EW462" s="849"/>
      <c r="EX462" s="849"/>
      <c r="EY462" s="849"/>
      <c r="EZ462" s="849"/>
      <c r="FA462" s="849"/>
      <c r="FB462" s="849"/>
      <c r="FC462" s="849"/>
      <c r="FD462" s="849"/>
      <c r="FE462" s="849"/>
      <c r="FF462" s="849"/>
      <c r="FG462" s="849"/>
      <c r="FH462" s="849"/>
      <c r="FI462" s="849"/>
      <c r="FJ462" s="849"/>
      <c r="FK462" s="849"/>
      <c r="FL462" s="849"/>
      <c r="FM462" s="849"/>
      <c r="FN462" s="849"/>
      <c r="FO462" s="849"/>
      <c r="FP462" s="849"/>
      <c r="FQ462" s="849"/>
      <c r="FR462" s="849"/>
      <c r="FS462" s="849"/>
      <c r="FT462" s="849"/>
      <c r="FU462" s="849"/>
      <c r="FV462" s="849"/>
      <c r="FW462" s="849"/>
      <c r="FX462" s="849"/>
      <c r="FY462" s="849"/>
      <c r="FZ462" s="849"/>
      <c r="GA462" s="849"/>
      <c r="GB462" s="849"/>
      <c r="GC462" s="849"/>
      <c r="GD462" s="849"/>
      <c r="GE462" s="849"/>
      <c r="GF462" s="849"/>
      <c r="GG462" s="849"/>
      <c r="GH462" s="849"/>
      <c r="GI462" s="849"/>
      <c r="GJ462" s="849"/>
      <c r="GK462" s="849"/>
      <c r="GL462" s="849"/>
      <c r="GM462" s="849"/>
      <c r="GN462" s="849"/>
      <c r="GO462" s="849"/>
      <c r="GP462" s="849"/>
      <c r="GQ462" s="849"/>
      <c r="GR462" s="849"/>
      <c r="GS462" s="849"/>
      <c r="GT462" s="849"/>
      <c r="GU462" s="849"/>
      <c r="GV462" s="849"/>
      <c r="GW462" s="849"/>
      <c r="GX462" s="849"/>
      <c r="GY462" s="849"/>
      <c r="GZ462" s="849"/>
      <c r="HA462" s="849"/>
      <c r="HB462" s="849"/>
      <c r="HC462" s="849"/>
      <c r="HD462" s="849"/>
      <c r="HE462" s="849"/>
      <c r="HF462" s="849"/>
      <c r="HG462" s="849"/>
      <c r="HH462" s="849"/>
      <c r="HI462" s="849"/>
      <c r="HJ462" s="849"/>
      <c r="HK462" s="849"/>
      <c r="HL462" s="849"/>
      <c r="HM462" s="849"/>
      <c r="HN462" s="849"/>
      <c r="HO462" s="849"/>
      <c r="HP462" s="849"/>
      <c r="HQ462" s="849"/>
      <c r="HR462" s="849"/>
    </row>
    <row r="463" spans="1:226" s="850" customFormat="1" ht="15" customHeight="1">
      <c r="A463" s="1504"/>
      <c r="B463" s="1507"/>
      <c r="C463" s="1541"/>
      <c r="D463" s="1543"/>
      <c r="E463" s="910">
        <v>6059</v>
      </c>
      <c r="F463" s="911">
        <f>SUM(G463:J463)</f>
        <v>90000</v>
      </c>
      <c r="G463" s="911"/>
      <c r="H463" s="911"/>
      <c r="I463" s="911"/>
      <c r="J463" s="912">
        <v>90000</v>
      </c>
      <c r="K463" s="849"/>
    </row>
    <row r="464" spans="1:226" s="850" customFormat="1" ht="15" hidden="1" customHeight="1">
      <c r="A464" s="1504"/>
      <c r="B464" s="1507"/>
      <c r="C464" s="1541"/>
      <c r="D464" s="1543"/>
      <c r="E464" s="859" t="s">
        <v>303</v>
      </c>
      <c r="F464" s="911">
        <f>SUM(G464:J464)</f>
        <v>0</v>
      </c>
      <c r="G464" s="911"/>
      <c r="H464" s="911"/>
      <c r="I464" s="911"/>
      <c r="J464" s="912"/>
      <c r="K464" s="849"/>
    </row>
    <row r="465" spans="1:226" s="850" customFormat="1" ht="15" hidden="1" customHeight="1">
      <c r="A465" s="1505"/>
      <c r="B465" s="1508"/>
      <c r="C465" s="1517"/>
      <c r="D465" s="1544"/>
      <c r="E465" s="897">
        <v>6069</v>
      </c>
      <c r="F465" s="911">
        <f>SUM(G465:J465)</f>
        <v>0</v>
      </c>
      <c r="G465" s="911"/>
      <c r="H465" s="911"/>
      <c r="I465" s="911"/>
      <c r="J465" s="912"/>
      <c r="K465" s="849"/>
    </row>
    <row r="466" spans="1:226" s="850" customFormat="1" ht="24.95" customHeight="1">
      <c r="A466" s="1503" t="s">
        <v>1008</v>
      </c>
      <c r="B466" s="1506" t="s">
        <v>1033</v>
      </c>
      <c r="C466" s="1516">
        <v>600</v>
      </c>
      <c r="D466" s="1542" t="s">
        <v>310</v>
      </c>
      <c r="E466" s="846" t="s">
        <v>976</v>
      </c>
      <c r="F466" s="847">
        <f>SUM(F467,F474)</f>
        <v>800000</v>
      </c>
      <c r="G466" s="847">
        <f>SUM(G467,G474)</f>
        <v>120000</v>
      </c>
      <c r="H466" s="847">
        <f>SUM(H467,H474)</f>
        <v>680000</v>
      </c>
      <c r="I466" s="847">
        <f>SUM(I467,I474)</f>
        <v>0</v>
      </c>
      <c r="J466" s="848">
        <f>SUM(J467,J474)</f>
        <v>0</v>
      </c>
      <c r="K466" s="849"/>
    </row>
    <row r="467" spans="1:226" s="850" customFormat="1" ht="24.95" customHeight="1">
      <c r="A467" s="1504"/>
      <c r="B467" s="1507"/>
      <c r="C467" s="1541"/>
      <c r="D467" s="1543"/>
      <c r="E467" s="851" t="s">
        <v>383</v>
      </c>
      <c r="F467" s="852">
        <f>SUM(F468,F471)</f>
        <v>0</v>
      </c>
      <c r="G467" s="852">
        <f>SUM(G468,G471)</f>
        <v>0</v>
      </c>
      <c r="H467" s="852">
        <f>SUM(H468,H471)</f>
        <v>0</v>
      </c>
      <c r="I467" s="852">
        <f>SUM(I468,I471)</f>
        <v>0</v>
      </c>
      <c r="J467" s="853">
        <f>SUM(J468,J471)</f>
        <v>0</v>
      </c>
      <c r="K467" s="849"/>
    </row>
    <row r="468" spans="1:226" s="850" customFormat="1" ht="24.95" hidden="1" customHeight="1">
      <c r="A468" s="1504"/>
      <c r="B468" s="1507"/>
      <c r="C468" s="1541"/>
      <c r="D468" s="1543"/>
      <c r="E468" s="860" t="s">
        <v>981</v>
      </c>
      <c r="F468" s="861">
        <f>SUM(F469:F470)</f>
        <v>0</v>
      </c>
      <c r="G468" s="861">
        <f>SUM(G469:G470)</f>
        <v>0</v>
      </c>
      <c r="H468" s="861">
        <f>SUM(H469:H470)</f>
        <v>0</v>
      </c>
      <c r="I468" s="861">
        <f>SUM(I469:I470)</f>
        <v>0</v>
      </c>
      <c r="J468" s="862">
        <f>SUM(J469:J470)</f>
        <v>0</v>
      </c>
      <c r="K468" s="849"/>
    </row>
    <row r="469" spans="1:226" s="850" customFormat="1" ht="15" hidden="1" customHeight="1">
      <c r="A469" s="1504"/>
      <c r="B469" s="1507"/>
      <c r="C469" s="1541"/>
      <c r="D469" s="1543"/>
      <c r="E469" s="855"/>
      <c r="F469" s="856">
        <f>SUM(G469:J469)</f>
        <v>0</v>
      </c>
      <c r="G469" s="856"/>
      <c r="H469" s="856"/>
      <c r="I469" s="856"/>
      <c r="J469" s="857"/>
      <c r="K469" s="849"/>
    </row>
    <row r="470" spans="1:226" s="850" customFormat="1" ht="15" hidden="1" customHeight="1">
      <c r="A470" s="1504"/>
      <c r="B470" s="1507"/>
      <c r="C470" s="1541"/>
      <c r="D470" s="1543"/>
      <c r="E470" s="855"/>
      <c r="F470" s="856">
        <f>SUM(G470:J470)</f>
        <v>0</v>
      </c>
      <c r="G470" s="856"/>
      <c r="H470" s="856"/>
      <c r="I470" s="856"/>
      <c r="J470" s="857"/>
      <c r="K470" s="849"/>
    </row>
    <row r="471" spans="1:226" s="850" customFormat="1" ht="24.95" hidden="1" customHeight="1">
      <c r="A471" s="1504"/>
      <c r="B471" s="1507"/>
      <c r="C471" s="1541"/>
      <c r="D471" s="1543"/>
      <c r="E471" s="860" t="s">
        <v>982</v>
      </c>
      <c r="F471" s="861">
        <f>SUM(F472:F473)</f>
        <v>0</v>
      </c>
      <c r="G471" s="861">
        <f>SUM(G472:G473)</f>
        <v>0</v>
      </c>
      <c r="H471" s="861">
        <f>SUM(H472:H473)</f>
        <v>0</v>
      </c>
      <c r="I471" s="861">
        <f>SUM(I472:I473)</f>
        <v>0</v>
      </c>
      <c r="J471" s="862">
        <f>SUM(J472:J473)</f>
        <v>0</v>
      </c>
      <c r="K471" s="849"/>
    </row>
    <row r="472" spans="1:226" s="850" customFormat="1" ht="15" hidden="1" customHeight="1">
      <c r="A472" s="1504"/>
      <c r="B472" s="1507"/>
      <c r="C472" s="1541"/>
      <c r="D472" s="1543"/>
      <c r="E472" s="855"/>
      <c r="F472" s="856">
        <f>SUM(G472:J472)</f>
        <v>0</v>
      </c>
      <c r="G472" s="856"/>
      <c r="H472" s="856"/>
      <c r="I472" s="856"/>
      <c r="J472" s="857"/>
      <c r="K472" s="849"/>
    </row>
    <row r="473" spans="1:226" s="850" customFormat="1" ht="15" hidden="1" customHeight="1">
      <c r="A473" s="1504"/>
      <c r="B473" s="1507"/>
      <c r="C473" s="1541"/>
      <c r="D473" s="1543"/>
      <c r="E473" s="855"/>
      <c r="F473" s="856">
        <f>SUM(G473:J473)</f>
        <v>0</v>
      </c>
      <c r="G473" s="856"/>
      <c r="H473" s="856"/>
      <c r="I473" s="856"/>
      <c r="J473" s="857"/>
      <c r="K473" s="849"/>
    </row>
    <row r="474" spans="1:226" s="850" customFormat="1" ht="24.95" customHeight="1">
      <c r="A474" s="1504"/>
      <c r="B474" s="1507"/>
      <c r="C474" s="1541"/>
      <c r="D474" s="1543"/>
      <c r="E474" s="858" t="s">
        <v>977</v>
      </c>
      <c r="F474" s="852">
        <f>SUM(F475:F479)</f>
        <v>800000</v>
      </c>
      <c r="G474" s="852">
        <f>SUM(G475:G479)</f>
        <v>120000</v>
      </c>
      <c r="H474" s="852">
        <f>SUM(H475:H479)</f>
        <v>680000</v>
      </c>
      <c r="I474" s="852">
        <f>SUM(I475:I479)</f>
        <v>0</v>
      </c>
      <c r="J474" s="853">
        <f>SUM(J475:J479)</f>
        <v>0</v>
      </c>
      <c r="K474" s="849"/>
    </row>
    <row r="475" spans="1:226" s="849" customFormat="1" ht="15" hidden="1" customHeight="1">
      <c r="A475" s="1504"/>
      <c r="B475" s="1507"/>
      <c r="C475" s="1541"/>
      <c r="D475" s="1543"/>
      <c r="E475" s="855" t="s">
        <v>204</v>
      </c>
      <c r="F475" s="856">
        <f>SUM(G475:J475)</f>
        <v>0</v>
      </c>
      <c r="G475" s="856"/>
      <c r="H475" s="856"/>
      <c r="I475" s="856"/>
      <c r="J475" s="857"/>
    </row>
    <row r="476" spans="1:226" s="850" customFormat="1" ht="15" customHeight="1">
      <c r="A476" s="1504"/>
      <c r="B476" s="1507"/>
      <c r="C476" s="1541"/>
      <c r="D476" s="1543"/>
      <c r="E476" s="855" t="s">
        <v>316</v>
      </c>
      <c r="F476" s="856">
        <f>SUM(G476:J476)</f>
        <v>680000</v>
      </c>
      <c r="G476" s="856"/>
      <c r="H476" s="856">
        <v>680000</v>
      </c>
      <c r="I476" s="856"/>
      <c r="J476" s="857"/>
      <c r="K476" s="849"/>
      <c r="L476" s="849"/>
      <c r="M476" s="849"/>
      <c r="N476" s="849"/>
      <c r="O476" s="849"/>
      <c r="P476" s="849"/>
      <c r="Q476" s="849"/>
      <c r="R476" s="849"/>
      <c r="S476" s="849"/>
      <c r="T476" s="849"/>
      <c r="U476" s="849"/>
      <c r="V476" s="849"/>
      <c r="W476" s="849"/>
      <c r="X476" s="849"/>
      <c r="Y476" s="849"/>
      <c r="Z476" s="849"/>
      <c r="AA476" s="849"/>
      <c r="AB476" s="849"/>
      <c r="AC476" s="849"/>
      <c r="AD476" s="849"/>
      <c r="AE476" s="849"/>
      <c r="AF476" s="849"/>
      <c r="AG476" s="849"/>
      <c r="AH476" s="849"/>
      <c r="AI476" s="849"/>
      <c r="AJ476" s="849"/>
      <c r="AK476" s="849"/>
      <c r="AL476" s="849"/>
      <c r="AM476" s="849"/>
      <c r="AN476" s="849"/>
      <c r="AO476" s="849"/>
      <c r="AP476" s="849"/>
      <c r="AQ476" s="849"/>
      <c r="AR476" s="849"/>
      <c r="AS476" s="849"/>
      <c r="AT476" s="849"/>
      <c r="AU476" s="849"/>
      <c r="AV476" s="849"/>
      <c r="AW476" s="849"/>
      <c r="AX476" s="849"/>
      <c r="AY476" s="849"/>
      <c r="AZ476" s="849"/>
      <c r="BA476" s="849"/>
      <c r="BB476" s="849"/>
      <c r="BC476" s="849"/>
      <c r="BD476" s="849"/>
      <c r="BE476" s="849"/>
      <c r="BF476" s="849"/>
      <c r="BG476" s="849"/>
      <c r="BH476" s="849"/>
      <c r="BI476" s="849"/>
      <c r="BJ476" s="849"/>
      <c r="BK476" s="849"/>
      <c r="BL476" s="849"/>
      <c r="BM476" s="849"/>
      <c r="BN476" s="849"/>
      <c r="BO476" s="849"/>
      <c r="BP476" s="849"/>
      <c r="BQ476" s="849"/>
      <c r="BR476" s="849"/>
      <c r="BS476" s="849"/>
      <c r="BT476" s="849"/>
      <c r="BU476" s="849"/>
      <c r="BV476" s="849"/>
      <c r="BW476" s="849"/>
      <c r="BX476" s="849"/>
      <c r="BY476" s="849"/>
      <c r="BZ476" s="849"/>
      <c r="CA476" s="849"/>
      <c r="CB476" s="849"/>
      <c r="CC476" s="849"/>
      <c r="CD476" s="849"/>
      <c r="CE476" s="849"/>
      <c r="CF476" s="849"/>
      <c r="CG476" s="849"/>
      <c r="CH476" s="849"/>
      <c r="CI476" s="849"/>
      <c r="CJ476" s="849"/>
      <c r="CK476" s="849"/>
      <c r="CL476" s="849"/>
      <c r="CM476" s="849"/>
      <c r="CN476" s="849"/>
      <c r="CO476" s="849"/>
      <c r="CP476" s="849"/>
      <c r="CQ476" s="849"/>
      <c r="CR476" s="849"/>
      <c r="CS476" s="849"/>
      <c r="CT476" s="849"/>
      <c r="CU476" s="849"/>
      <c r="CV476" s="849"/>
      <c r="CW476" s="849"/>
      <c r="CX476" s="849"/>
      <c r="CY476" s="849"/>
      <c r="CZ476" s="849"/>
      <c r="DA476" s="849"/>
      <c r="DB476" s="849"/>
      <c r="DC476" s="849"/>
      <c r="DD476" s="849"/>
      <c r="DE476" s="849"/>
      <c r="DF476" s="849"/>
      <c r="DG476" s="849"/>
      <c r="DH476" s="849"/>
      <c r="DI476" s="849"/>
      <c r="DJ476" s="849"/>
      <c r="DK476" s="849"/>
      <c r="DL476" s="849"/>
      <c r="DM476" s="849"/>
      <c r="DN476" s="849"/>
      <c r="DO476" s="849"/>
      <c r="DP476" s="849"/>
      <c r="DQ476" s="849"/>
      <c r="DR476" s="849"/>
      <c r="DS476" s="849"/>
      <c r="DT476" s="849"/>
      <c r="DU476" s="849"/>
      <c r="DV476" s="849"/>
      <c r="DW476" s="849"/>
      <c r="DX476" s="849"/>
      <c r="DY476" s="849"/>
      <c r="DZ476" s="849"/>
      <c r="EA476" s="849"/>
      <c r="EB476" s="849"/>
      <c r="EC476" s="849"/>
      <c r="ED476" s="849"/>
      <c r="EE476" s="849"/>
      <c r="EF476" s="849"/>
      <c r="EG476" s="849"/>
      <c r="EH476" s="849"/>
      <c r="EI476" s="849"/>
      <c r="EJ476" s="849"/>
      <c r="EK476" s="849"/>
      <c r="EL476" s="849"/>
      <c r="EM476" s="849"/>
      <c r="EN476" s="849"/>
      <c r="EO476" s="849"/>
      <c r="EP476" s="849"/>
      <c r="EQ476" s="849"/>
      <c r="ER476" s="849"/>
      <c r="ES476" s="849"/>
      <c r="ET476" s="849"/>
      <c r="EU476" s="849"/>
      <c r="EV476" s="849"/>
      <c r="EW476" s="849"/>
      <c r="EX476" s="849"/>
      <c r="EY476" s="849"/>
      <c r="EZ476" s="849"/>
      <c r="FA476" s="849"/>
      <c r="FB476" s="849"/>
      <c r="FC476" s="849"/>
      <c r="FD476" s="849"/>
      <c r="FE476" s="849"/>
      <c r="FF476" s="849"/>
      <c r="FG476" s="849"/>
      <c r="FH476" s="849"/>
      <c r="FI476" s="849"/>
      <c r="FJ476" s="849"/>
      <c r="FK476" s="849"/>
      <c r="FL476" s="849"/>
      <c r="FM476" s="849"/>
      <c r="FN476" s="849"/>
      <c r="FO476" s="849"/>
      <c r="FP476" s="849"/>
      <c r="FQ476" s="849"/>
      <c r="FR476" s="849"/>
      <c r="FS476" s="849"/>
      <c r="FT476" s="849"/>
      <c r="FU476" s="849"/>
      <c r="FV476" s="849"/>
      <c r="FW476" s="849"/>
      <c r="FX476" s="849"/>
      <c r="FY476" s="849"/>
      <c r="FZ476" s="849"/>
      <c r="GA476" s="849"/>
      <c r="GB476" s="849"/>
      <c r="GC476" s="849"/>
      <c r="GD476" s="849"/>
      <c r="GE476" s="849"/>
      <c r="GF476" s="849"/>
      <c r="GG476" s="849"/>
      <c r="GH476" s="849"/>
      <c r="GI476" s="849"/>
      <c r="GJ476" s="849"/>
      <c r="GK476" s="849"/>
      <c r="GL476" s="849"/>
      <c r="GM476" s="849"/>
      <c r="GN476" s="849"/>
      <c r="GO476" s="849"/>
      <c r="GP476" s="849"/>
      <c r="GQ476" s="849"/>
      <c r="GR476" s="849"/>
      <c r="GS476" s="849"/>
      <c r="GT476" s="849"/>
      <c r="GU476" s="849"/>
      <c r="GV476" s="849"/>
      <c r="GW476" s="849"/>
      <c r="GX476" s="849"/>
      <c r="GY476" s="849"/>
      <c r="GZ476" s="849"/>
      <c r="HA476" s="849"/>
      <c r="HB476" s="849"/>
      <c r="HC476" s="849"/>
      <c r="HD476" s="849"/>
      <c r="HE476" s="849"/>
      <c r="HF476" s="849"/>
      <c r="HG476" s="849"/>
      <c r="HH476" s="849"/>
      <c r="HI476" s="849"/>
      <c r="HJ476" s="849"/>
      <c r="HK476" s="849"/>
      <c r="HL476" s="849"/>
      <c r="HM476" s="849"/>
      <c r="HN476" s="849"/>
      <c r="HO476" s="849"/>
      <c r="HP476" s="849"/>
      <c r="HQ476" s="849"/>
      <c r="HR476" s="849"/>
    </row>
    <row r="477" spans="1:226" s="850" customFormat="1" ht="15" customHeight="1">
      <c r="A477" s="1504"/>
      <c r="B477" s="1507"/>
      <c r="C477" s="1541"/>
      <c r="D477" s="1543"/>
      <c r="E477" s="910">
        <v>6059</v>
      </c>
      <c r="F477" s="911">
        <f>SUM(G477:J477)</f>
        <v>120000</v>
      </c>
      <c r="G477" s="911">
        <v>120000</v>
      </c>
      <c r="H477" s="911"/>
      <c r="I477" s="911"/>
      <c r="J477" s="912"/>
      <c r="K477" s="849"/>
    </row>
    <row r="478" spans="1:226" s="850" customFormat="1" ht="15" hidden="1" customHeight="1">
      <c r="A478" s="1504"/>
      <c r="B478" s="1507"/>
      <c r="C478" s="1541"/>
      <c r="D478" s="1543"/>
      <c r="E478" s="859" t="s">
        <v>303</v>
      </c>
      <c r="F478" s="911">
        <f>SUM(G478:J478)</f>
        <v>0</v>
      </c>
      <c r="G478" s="911"/>
      <c r="H478" s="911"/>
      <c r="I478" s="911"/>
      <c r="J478" s="912"/>
      <c r="K478" s="849"/>
    </row>
    <row r="479" spans="1:226" s="850" customFormat="1" ht="15" hidden="1" customHeight="1">
      <c r="A479" s="1505"/>
      <c r="B479" s="1508"/>
      <c r="C479" s="1517"/>
      <c r="D479" s="1544"/>
      <c r="E479" s="897">
        <v>6069</v>
      </c>
      <c r="F479" s="911">
        <f>SUM(G479:J479)</f>
        <v>0</v>
      </c>
      <c r="G479" s="911"/>
      <c r="H479" s="911"/>
      <c r="I479" s="911"/>
      <c r="J479" s="912"/>
      <c r="K479" s="849"/>
    </row>
    <row r="480" spans="1:226" s="850" customFormat="1" ht="24.95" customHeight="1">
      <c r="A480" s="1503" t="s">
        <v>1010</v>
      </c>
      <c r="B480" s="1506" t="s">
        <v>1077</v>
      </c>
      <c r="C480" s="1516">
        <v>600</v>
      </c>
      <c r="D480" s="1542" t="s">
        <v>310</v>
      </c>
      <c r="E480" s="846" t="s">
        <v>976</v>
      </c>
      <c r="F480" s="847">
        <f>SUM(F481,F488)</f>
        <v>680000</v>
      </c>
      <c r="G480" s="847">
        <f>SUM(G481,G488)</f>
        <v>102000</v>
      </c>
      <c r="H480" s="847">
        <f>SUM(H481,H488)</f>
        <v>578000</v>
      </c>
      <c r="I480" s="847">
        <f>SUM(I481,I488)</f>
        <v>0</v>
      </c>
      <c r="J480" s="848">
        <f>SUM(J481,J488)</f>
        <v>0</v>
      </c>
      <c r="K480" s="849"/>
    </row>
    <row r="481" spans="1:226" s="850" customFormat="1" ht="24.95" customHeight="1">
      <c r="A481" s="1504"/>
      <c r="B481" s="1507"/>
      <c r="C481" s="1541"/>
      <c r="D481" s="1543"/>
      <c r="E481" s="851" t="s">
        <v>383</v>
      </c>
      <c r="F481" s="852">
        <f>SUM(F482,F485)</f>
        <v>0</v>
      </c>
      <c r="G481" s="852">
        <f>SUM(G482,G485)</f>
        <v>0</v>
      </c>
      <c r="H481" s="852">
        <f>SUM(H482,H485)</f>
        <v>0</v>
      </c>
      <c r="I481" s="852">
        <f>SUM(I482,I485)</f>
        <v>0</v>
      </c>
      <c r="J481" s="853">
        <f>SUM(J482,J485)</f>
        <v>0</v>
      </c>
      <c r="K481" s="849"/>
    </row>
    <row r="482" spans="1:226" s="850" customFormat="1" ht="24.95" hidden="1" customHeight="1">
      <c r="A482" s="1504"/>
      <c r="B482" s="1507"/>
      <c r="C482" s="1541"/>
      <c r="D482" s="1543"/>
      <c r="E482" s="860" t="s">
        <v>981</v>
      </c>
      <c r="F482" s="861">
        <f>SUM(F483:F484)</f>
        <v>0</v>
      </c>
      <c r="G482" s="861">
        <f>SUM(G483:G484)</f>
        <v>0</v>
      </c>
      <c r="H482" s="861">
        <f>SUM(H483:H484)</f>
        <v>0</v>
      </c>
      <c r="I482" s="861">
        <f>SUM(I483:I484)</f>
        <v>0</v>
      </c>
      <c r="J482" s="862">
        <f>SUM(J483:J484)</f>
        <v>0</v>
      </c>
      <c r="K482" s="849"/>
    </row>
    <row r="483" spans="1:226" s="850" customFormat="1" ht="15" hidden="1" customHeight="1">
      <c r="A483" s="1504"/>
      <c r="B483" s="1507"/>
      <c r="C483" s="1541"/>
      <c r="D483" s="1543"/>
      <c r="E483" s="855"/>
      <c r="F483" s="856">
        <f>SUM(G483:J483)</f>
        <v>0</v>
      </c>
      <c r="G483" s="856"/>
      <c r="H483" s="856"/>
      <c r="I483" s="856"/>
      <c r="J483" s="857"/>
      <c r="K483" s="849"/>
    </row>
    <row r="484" spans="1:226" s="850" customFormat="1" ht="15" hidden="1" customHeight="1">
      <c r="A484" s="1504"/>
      <c r="B484" s="1507"/>
      <c r="C484" s="1541"/>
      <c r="D484" s="1543"/>
      <c r="E484" s="855"/>
      <c r="F484" s="856">
        <f>SUM(G484:J484)</f>
        <v>0</v>
      </c>
      <c r="G484" s="856"/>
      <c r="H484" s="856"/>
      <c r="I484" s="856"/>
      <c r="J484" s="857"/>
      <c r="K484" s="849"/>
    </row>
    <row r="485" spans="1:226" s="850" customFormat="1" ht="24.95" hidden="1" customHeight="1">
      <c r="A485" s="1504"/>
      <c r="B485" s="1507"/>
      <c r="C485" s="1541"/>
      <c r="D485" s="1543"/>
      <c r="E485" s="860" t="s">
        <v>982</v>
      </c>
      <c r="F485" s="861">
        <f>SUM(F486:F487)</f>
        <v>0</v>
      </c>
      <c r="G485" s="861">
        <f>SUM(G486:G487)</f>
        <v>0</v>
      </c>
      <c r="H485" s="861">
        <f>SUM(H486:H487)</f>
        <v>0</v>
      </c>
      <c r="I485" s="861">
        <f>SUM(I486:I487)</f>
        <v>0</v>
      </c>
      <c r="J485" s="862">
        <f>SUM(J486:J487)</f>
        <v>0</v>
      </c>
      <c r="K485" s="849"/>
    </row>
    <row r="486" spans="1:226" s="850" customFormat="1" ht="15" hidden="1" customHeight="1">
      <c r="A486" s="1504"/>
      <c r="B486" s="1507"/>
      <c r="C486" s="1541"/>
      <c r="D486" s="1543"/>
      <c r="E486" s="855"/>
      <c r="F486" s="856">
        <f>SUM(G486:J486)</f>
        <v>0</v>
      </c>
      <c r="G486" s="856"/>
      <c r="H486" s="856"/>
      <c r="I486" s="856"/>
      <c r="J486" s="857"/>
      <c r="K486" s="849"/>
    </row>
    <row r="487" spans="1:226" s="850" customFormat="1" ht="15" hidden="1" customHeight="1">
      <c r="A487" s="1504"/>
      <c r="B487" s="1507"/>
      <c r="C487" s="1541"/>
      <c r="D487" s="1543"/>
      <c r="E487" s="855"/>
      <c r="F487" s="856">
        <f>SUM(G487:J487)</f>
        <v>0</v>
      </c>
      <c r="G487" s="856"/>
      <c r="H487" s="856"/>
      <c r="I487" s="856"/>
      <c r="J487" s="857"/>
      <c r="K487" s="849"/>
    </row>
    <row r="488" spans="1:226" s="850" customFormat="1" ht="24.95" customHeight="1">
      <c r="A488" s="1504"/>
      <c r="B488" s="1507"/>
      <c r="C488" s="1541"/>
      <c r="D488" s="1543"/>
      <c r="E488" s="858" t="s">
        <v>977</v>
      </c>
      <c r="F488" s="852">
        <f>SUM(F489:F493)</f>
        <v>680000</v>
      </c>
      <c r="G488" s="852">
        <f>SUM(G489:G493)</f>
        <v>102000</v>
      </c>
      <c r="H488" s="852">
        <f>SUM(H489:H493)</f>
        <v>578000</v>
      </c>
      <c r="I488" s="852">
        <f>SUM(I489:I493)</f>
        <v>0</v>
      </c>
      <c r="J488" s="853">
        <f>SUM(J489:J493)</f>
        <v>0</v>
      </c>
      <c r="K488" s="849"/>
    </row>
    <row r="489" spans="1:226" s="849" customFormat="1" ht="15" hidden="1" customHeight="1">
      <c r="A489" s="1504"/>
      <c r="B489" s="1507"/>
      <c r="C489" s="1541"/>
      <c r="D489" s="1543"/>
      <c r="E489" s="855" t="s">
        <v>204</v>
      </c>
      <c r="F489" s="856">
        <f>SUM(G489:J489)</f>
        <v>0</v>
      </c>
      <c r="G489" s="856"/>
      <c r="H489" s="856"/>
      <c r="I489" s="856"/>
      <c r="J489" s="857"/>
    </row>
    <row r="490" spans="1:226" s="850" customFormat="1" ht="15" customHeight="1">
      <c r="A490" s="1504"/>
      <c r="B490" s="1507"/>
      <c r="C490" s="1541"/>
      <c r="D490" s="1543"/>
      <c r="E490" s="855" t="s">
        <v>316</v>
      </c>
      <c r="F490" s="856">
        <f>SUM(G490:J490)</f>
        <v>578000</v>
      </c>
      <c r="G490" s="856"/>
      <c r="H490" s="856">
        <v>578000</v>
      </c>
      <c r="I490" s="856"/>
      <c r="J490" s="857"/>
      <c r="K490" s="849"/>
      <c r="L490" s="849"/>
      <c r="M490" s="849"/>
      <c r="N490" s="849"/>
      <c r="O490" s="849"/>
      <c r="P490" s="849"/>
      <c r="Q490" s="849"/>
      <c r="R490" s="849"/>
      <c r="S490" s="849"/>
      <c r="T490" s="849"/>
      <c r="U490" s="849"/>
      <c r="V490" s="849"/>
      <c r="W490" s="849"/>
      <c r="X490" s="849"/>
      <c r="Y490" s="849"/>
      <c r="Z490" s="849"/>
      <c r="AA490" s="849"/>
      <c r="AB490" s="849"/>
      <c r="AC490" s="849"/>
      <c r="AD490" s="849"/>
      <c r="AE490" s="849"/>
      <c r="AF490" s="849"/>
      <c r="AG490" s="849"/>
      <c r="AH490" s="849"/>
      <c r="AI490" s="849"/>
      <c r="AJ490" s="849"/>
      <c r="AK490" s="849"/>
      <c r="AL490" s="849"/>
      <c r="AM490" s="849"/>
      <c r="AN490" s="849"/>
      <c r="AO490" s="849"/>
      <c r="AP490" s="849"/>
      <c r="AQ490" s="849"/>
      <c r="AR490" s="849"/>
      <c r="AS490" s="849"/>
      <c r="AT490" s="849"/>
      <c r="AU490" s="849"/>
      <c r="AV490" s="849"/>
      <c r="AW490" s="849"/>
      <c r="AX490" s="849"/>
      <c r="AY490" s="849"/>
      <c r="AZ490" s="849"/>
      <c r="BA490" s="849"/>
      <c r="BB490" s="849"/>
      <c r="BC490" s="849"/>
      <c r="BD490" s="849"/>
      <c r="BE490" s="849"/>
      <c r="BF490" s="849"/>
      <c r="BG490" s="849"/>
      <c r="BH490" s="849"/>
      <c r="BI490" s="849"/>
      <c r="BJ490" s="849"/>
      <c r="BK490" s="849"/>
      <c r="BL490" s="849"/>
      <c r="BM490" s="849"/>
      <c r="BN490" s="849"/>
      <c r="BO490" s="849"/>
      <c r="BP490" s="849"/>
      <c r="BQ490" s="849"/>
      <c r="BR490" s="849"/>
      <c r="BS490" s="849"/>
      <c r="BT490" s="849"/>
      <c r="BU490" s="849"/>
      <c r="BV490" s="849"/>
      <c r="BW490" s="849"/>
      <c r="BX490" s="849"/>
      <c r="BY490" s="849"/>
      <c r="BZ490" s="849"/>
      <c r="CA490" s="849"/>
      <c r="CB490" s="849"/>
      <c r="CC490" s="849"/>
      <c r="CD490" s="849"/>
      <c r="CE490" s="849"/>
      <c r="CF490" s="849"/>
      <c r="CG490" s="849"/>
      <c r="CH490" s="849"/>
      <c r="CI490" s="849"/>
      <c r="CJ490" s="849"/>
      <c r="CK490" s="849"/>
      <c r="CL490" s="849"/>
      <c r="CM490" s="849"/>
      <c r="CN490" s="849"/>
      <c r="CO490" s="849"/>
      <c r="CP490" s="849"/>
      <c r="CQ490" s="849"/>
      <c r="CR490" s="849"/>
      <c r="CS490" s="849"/>
      <c r="CT490" s="849"/>
      <c r="CU490" s="849"/>
      <c r="CV490" s="849"/>
      <c r="CW490" s="849"/>
      <c r="CX490" s="849"/>
      <c r="CY490" s="849"/>
      <c r="CZ490" s="849"/>
      <c r="DA490" s="849"/>
      <c r="DB490" s="849"/>
      <c r="DC490" s="849"/>
      <c r="DD490" s="849"/>
      <c r="DE490" s="849"/>
      <c r="DF490" s="849"/>
      <c r="DG490" s="849"/>
      <c r="DH490" s="849"/>
      <c r="DI490" s="849"/>
      <c r="DJ490" s="849"/>
      <c r="DK490" s="849"/>
      <c r="DL490" s="849"/>
      <c r="DM490" s="849"/>
      <c r="DN490" s="849"/>
      <c r="DO490" s="849"/>
      <c r="DP490" s="849"/>
      <c r="DQ490" s="849"/>
      <c r="DR490" s="849"/>
      <c r="DS490" s="849"/>
      <c r="DT490" s="849"/>
      <c r="DU490" s="849"/>
      <c r="DV490" s="849"/>
      <c r="DW490" s="849"/>
      <c r="DX490" s="849"/>
      <c r="DY490" s="849"/>
      <c r="DZ490" s="849"/>
      <c r="EA490" s="849"/>
      <c r="EB490" s="849"/>
      <c r="EC490" s="849"/>
      <c r="ED490" s="849"/>
      <c r="EE490" s="849"/>
      <c r="EF490" s="849"/>
      <c r="EG490" s="849"/>
      <c r="EH490" s="849"/>
      <c r="EI490" s="849"/>
      <c r="EJ490" s="849"/>
      <c r="EK490" s="849"/>
      <c r="EL490" s="849"/>
      <c r="EM490" s="849"/>
      <c r="EN490" s="849"/>
      <c r="EO490" s="849"/>
      <c r="EP490" s="849"/>
      <c r="EQ490" s="849"/>
      <c r="ER490" s="849"/>
      <c r="ES490" s="849"/>
      <c r="ET490" s="849"/>
      <c r="EU490" s="849"/>
      <c r="EV490" s="849"/>
      <c r="EW490" s="849"/>
      <c r="EX490" s="849"/>
      <c r="EY490" s="849"/>
      <c r="EZ490" s="849"/>
      <c r="FA490" s="849"/>
      <c r="FB490" s="849"/>
      <c r="FC490" s="849"/>
      <c r="FD490" s="849"/>
      <c r="FE490" s="849"/>
      <c r="FF490" s="849"/>
      <c r="FG490" s="849"/>
      <c r="FH490" s="849"/>
      <c r="FI490" s="849"/>
      <c r="FJ490" s="849"/>
      <c r="FK490" s="849"/>
      <c r="FL490" s="849"/>
      <c r="FM490" s="849"/>
      <c r="FN490" s="849"/>
      <c r="FO490" s="849"/>
      <c r="FP490" s="849"/>
      <c r="FQ490" s="849"/>
      <c r="FR490" s="849"/>
      <c r="FS490" s="849"/>
      <c r="FT490" s="849"/>
      <c r="FU490" s="849"/>
      <c r="FV490" s="849"/>
      <c r="FW490" s="849"/>
      <c r="FX490" s="849"/>
      <c r="FY490" s="849"/>
      <c r="FZ490" s="849"/>
      <c r="GA490" s="849"/>
      <c r="GB490" s="849"/>
      <c r="GC490" s="849"/>
      <c r="GD490" s="849"/>
      <c r="GE490" s="849"/>
      <c r="GF490" s="849"/>
      <c r="GG490" s="849"/>
      <c r="GH490" s="849"/>
      <c r="GI490" s="849"/>
      <c r="GJ490" s="849"/>
      <c r="GK490" s="849"/>
      <c r="GL490" s="849"/>
      <c r="GM490" s="849"/>
      <c r="GN490" s="849"/>
      <c r="GO490" s="849"/>
      <c r="GP490" s="849"/>
      <c r="GQ490" s="849"/>
      <c r="GR490" s="849"/>
      <c r="GS490" s="849"/>
      <c r="GT490" s="849"/>
      <c r="GU490" s="849"/>
      <c r="GV490" s="849"/>
      <c r="GW490" s="849"/>
      <c r="GX490" s="849"/>
      <c r="GY490" s="849"/>
      <c r="GZ490" s="849"/>
      <c r="HA490" s="849"/>
      <c r="HB490" s="849"/>
      <c r="HC490" s="849"/>
      <c r="HD490" s="849"/>
      <c r="HE490" s="849"/>
      <c r="HF490" s="849"/>
      <c r="HG490" s="849"/>
      <c r="HH490" s="849"/>
      <c r="HI490" s="849"/>
      <c r="HJ490" s="849"/>
      <c r="HK490" s="849"/>
      <c r="HL490" s="849"/>
      <c r="HM490" s="849"/>
      <c r="HN490" s="849"/>
      <c r="HO490" s="849"/>
      <c r="HP490" s="849"/>
      <c r="HQ490" s="849"/>
      <c r="HR490" s="849"/>
    </row>
    <row r="491" spans="1:226" s="850" customFormat="1" ht="15" customHeight="1">
      <c r="A491" s="1504"/>
      <c r="B491" s="1507"/>
      <c r="C491" s="1541"/>
      <c r="D491" s="1543"/>
      <c r="E491" s="910">
        <v>6059</v>
      </c>
      <c r="F491" s="911">
        <f>SUM(G491:J491)</f>
        <v>102000</v>
      </c>
      <c r="G491" s="911">
        <v>102000</v>
      </c>
      <c r="H491" s="911"/>
      <c r="I491" s="911"/>
      <c r="J491" s="912"/>
      <c r="K491" s="849"/>
    </row>
    <row r="492" spans="1:226" s="850" customFormat="1" ht="15" hidden="1" customHeight="1">
      <c r="A492" s="1504"/>
      <c r="B492" s="1507"/>
      <c r="C492" s="1541"/>
      <c r="D492" s="1543"/>
      <c r="E492" s="859" t="s">
        <v>303</v>
      </c>
      <c r="F492" s="911">
        <f>SUM(G492:J492)</f>
        <v>0</v>
      </c>
      <c r="G492" s="911"/>
      <c r="H492" s="911"/>
      <c r="I492" s="911"/>
      <c r="J492" s="912"/>
      <c r="K492" s="849"/>
    </row>
    <row r="493" spans="1:226" s="850" customFormat="1" ht="15" hidden="1" customHeight="1">
      <c r="A493" s="1505"/>
      <c r="B493" s="1508"/>
      <c r="C493" s="1517"/>
      <c r="D493" s="1544"/>
      <c r="E493" s="897">
        <v>6069</v>
      </c>
      <c r="F493" s="911">
        <f>SUM(G493:J493)</f>
        <v>0</v>
      </c>
      <c r="G493" s="911"/>
      <c r="H493" s="911"/>
      <c r="I493" s="911"/>
      <c r="J493" s="912"/>
      <c r="K493" s="849"/>
    </row>
    <row r="494" spans="1:226" s="850" customFormat="1" ht="24.95" customHeight="1">
      <c r="A494" s="1503" t="s">
        <v>1012</v>
      </c>
      <c r="B494" s="1506" t="s">
        <v>1034</v>
      </c>
      <c r="C494" s="1516">
        <v>600</v>
      </c>
      <c r="D494" s="1542" t="s">
        <v>310</v>
      </c>
      <c r="E494" s="846" t="s">
        <v>976</v>
      </c>
      <c r="F494" s="847">
        <f>SUM(F495,F502)</f>
        <v>400000</v>
      </c>
      <c r="G494" s="847">
        <f>SUM(G495,G502)</f>
        <v>60000</v>
      </c>
      <c r="H494" s="847">
        <f>SUM(H495,H502)</f>
        <v>340000</v>
      </c>
      <c r="I494" s="847">
        <f>SUM(I495,I502)</f>
        <v>0</v>
      </c>
      <c r="J494" s="848">
        <f>SUM(J495,J502)</f>
        <v>0</v>
      </c>
      <c r="K494" s="849"/>
    </row>
    <row r="495" spans="1:226" s="850" customFormat="1" ht="24.95" customHeight="1">
      <c r="A495" s="1504"/>
      <c r="B495" s="1507"/>
      <c r="C495" s="1541"/>
      <c r="D495" s="1543"/>
      <c r="E495" s="851" t="s">
        <v>383</v>
      </c>
      <c r="F495" s="852">
        <f>SUM(F496,F499)</f>
        <v>0</v>
      </c>
      <c r="G495" s="852">
        <f>SUM(G496,G499)</f>
        <v>0</v>
      </c>
      <c r="H495" s="852">
        <f>SUM(H496,H499)</f>
        <v>0</v>
      </c>
      <c r="I495" s="852">
        <f>SUM(I496,I499)</f>
        <v>0</v>
      </c>
      <c r="J495" s="853">
        <f>SUM(J496,J499)</f>
        <v>0</v>
      </c>
      <c r="K495" s="849"/>
    </row>
    <row r="496" spans="1:226" s="850" customFormat="1" ht="24.95" hidden="1" customHeight="1">
      <c r="A496" s="1504"/>
      <c r="B496" s="1507"/>
      <c r="C496" s="1541"/>
      <c r="D496" s="1543"/>
      <c r="E496" s="860" t="s">
        <v>981</v>
      </c>
      <c r="F496" s="861">
        <f>SUM(F497:F498)</f>
        <v>0</v>
      </c>
      <c r="G496" s="861">
        <f>SUM(G497:G498)</f>
        <v>0</v>
      </c>
      <c r="H496" s="861">
        <f>SUM(H497:H498)</f>
        <v>0</v>
      </c>
      <c r="I496" s="861">
        <f>SUM(I497:I498)</f>
        <v>0</v>
      </c>
      <c r="J496" s="862">
        <f>SUM(J497:J498)</f>
        <v>0</v>
      </c>
      <c r="K496" s="849"/>
    </row>
    <row r="497" spans="1:226" s="850" customFormat="1" ht="15" hidden="1" customHeight="1">
      <c r="A497" s="1504"/>
      <c r="B497" s="1507"/>
      <c r="C497" s="1541"/>
      <c r="D497" s="1543"/>
      <c r="E497" s="855"/>
      <c r="F497" s="856">
        <f>SUM(G497:J497)</f>
        <v>0</v>
      </c>
      <c r="G497" s="856"/>
      <c r="H497" s="856"/>
      <c r="I497" s="856"/>
      <c r="J497" s="857"/>
      <c r="K497" s="849"/>
    </row>
    <row r="498" spans="1:226" s="850" customFormat="1" ht="15" hidden="1" customHeight="1">
      <c r="A498" s="1504"/>
      <c r="B498" s="1507"/>
      <c r="C498" s="1541"/>
      <c r="D498" s="1543"/>
      <c r="E498" s="855"/>
      <c r="F498" s="856">
        <f>SUM(G498:J498)</f>
        <v>0</v>
      </c>
      <c r="G498" s="856"/>
      <c r="H498" s="856"/>
      <c r="I498" s="856"/>
      <c r="J498" s="857"/>
      <c r="K498" s="849"/>
    </row>
    <row r="499" spans="1:226" s="850" customFormat="1" ht="24.95" hidden="1" customHeight="1">
      <c r="A499" s="1504"/>
      <c r="B499" s="1507"/>
      <c r="C499" s="1541"/>
      <c r="D499" s="1543"/>
      <c r="E499" s="860" t="s">
        <v>982</v>
      </c>
      <c r="F499" s="861">
        <f>SUM(F500:F501)</f>
        <v>0</v>
      </c>
      <c r="G499" s="861">
        <f>SUM(G500:G501)</f>
        <v>0</v>
      </c>
      <c r="H499" s="861">
        <f>SUM(H500:H501)</f>
        <v>0</v>
      </c>
      <c r="I499" s="861">
        <f>SUM(I500:I501)</f>
        <v>0</v>
      </c>
      <c r="J499" s="862">
        <f>SUM(J500:J501)</f>
        <v>0</v>
      </c>
      <c r="K499" s="849"/>
    </row>
    <row r="500" spans="1:226" s="850" customFormat="1" ht="15" hidden="1" customHeight="1">
      <c r="A500" s="1504"/>
      <c r="B500" s="1507"/>
      <c r="C500" s="1541"/>
      <c r="D500" s="1543"/>
      <c r="E500" s="855"/>
      <c r="F500" s="856">
        <f>SUM(G500:J500)</f>
        <v>0</v>
      </c>
      <c r="G500" s="856"/>
      <c r="H500" s="856"/>
      <c r="I500" s="856"/>
      <c r="J500" s="857"/>
      <c r="K500" s="849"/>
    </row>
    <row r="501" spans="1:226" s="850" customFormat="1" ht="15" hidden="1" customHeight="1">
      <c r="A501" s="1504"/>
      <c r="B501" s="1507"/>
      <c r="C501" s="1541"/>
      <c r="D501" s="1543"/>
      <c r="E501" s="855"/>
      <c r="F501" s="856">
        <f>SUM(G501:J501)</f>
        <v>0</v>
      </c>
      <c r="G501" s="856"/>
      <c r="H501" s="856"/>
      <c r="I501" s="856"/>
      <c r="J501" s="857"/>
      <c r="K501" s="849"/>
    </row>
    <row r="502" spans="1:226" s="850" customFormat="1" ht="24.95" customHeight="1">
      <c r="A502" s="1504"/>
      <c r="B502" s="1507"/>
      <c r="C502" s="1541"/>
      <c r="D502" s="1543"/>
      <c r="E502" s="858" t="s">
        <v>977</v>
      </c>
      <c r="F502" s="852">
        <f>SUM(F503:F505)</f>
        <v>400000</v>
      </c>
      <c r="G502" s="852">
        <f>SUM(G503:G505)</f>
        <v>60000</v>
      </c>
      <c r="H502" s="852">
        <f>SUM(H503:H505)</f>
        <v>340000</v>
      </c>
      <c r="I502" s="852">
        <f>SUM(I503:I505)</f>
        <v>0</v>
      </c>
      <c r="J502" s="853">
        <f>SUM(J503:J505)</f>
        <v>0</v>
      </c>
      <c r="K502" s="849"/>
    </row>
    <row r="503" spans="1:226" s="849" customFormat="1" ht="15" hidden="1" customHeight="1">
      <c r="A503" s="1504"/>
      <c r="B503" s="1507"/>
      <c r="C503" s="1541"/>
      <c r="D503" s="1543"/>
      <c r="E503" s="855" t="s">
        <v>204</v>
      </c>
      <c r="F503" s="856">
        <f>SUM(G503:J503)</f>
        <v>0</v>
      </c>
      <c r="G503" s="856"/>
      <c r="H503" s="856"/>
      <c r="I503" s="856"/>
      <c r="J503" s="857"/>
    </row>
    <row r="504" spans="1:226" s="850" customFormat="1" ht="15" customHeight="1">
      <c r="A504" s="1504"/>
      <c r="B504" s="1507"/>
      <c r="C504" s="1541"/>
      <c r="D504" s="1543"/>
      <c r="E504" s="855" t="s">
        <v>316</v>
      </c>
      <c r="F504" s="856">
        <f>SUM(G504:J504)</f>
        <v>340000</v>
      </c>
      <c r="G504" s="856"/>
      <c r="H504" s="856">
        <v>340000</v>
      </c>
      <c r="I504" s="856"/>
      <c r="J504" s="857"/>
      <c r="K504" s="849"/>
      <c r="L504" s="849"/>
      <c r="M504" s="849"/>
      <c r="N504" s="849"/>
      <c r="O504" s="849"/>
      <c r="P504" s="849"/>
      <c r="Q504" s="849"/>
      <c r="R504" s="849"/>
      <c r="S504" s="849"/>
      <c r="T504" s="849"/>
      <c r="U504" s="849"/>
      <c r="V504" s="849"/>
      <c r="W504" s="849"/>
      <c r="X504" s="849"/>
      <c r="Y504" s="849"/>
      <c r="Z504" s="849"/>
      <c r="AA504" s="849"/>
      <c r="AB504" s="849"/>
      <c r="AC504" s="849"/>
      <c r="AD504" s="849"/>
      <c r="AE504" s="849"/>
      <c r="AF504" s="849"/>
      <c r="AG504" s="849"/>
      <c r="AH504" s="849"/>
      <c r="AI504" s="849"/>
      <c r="AJ504" s="849"/>
      <c r="AK504" s="849"/>
      <c r="AL504" s="849"/>
      <c r="AM504" s="849"/>
      <c r="AN504" s="849"/>
      <c r="AO504" s="849"/>
      <c r="AP504" s="849"/>
      <c r="AQ504" s="849"/>
      <c r="AR504" s="849"/>
      <c r="AS504" s="849"/>
      <c r="AT504" s="849"/>
      <c r="AU504" s="849"/>
      <c r="AV504" s="849"/>
      <c r="AW504" s="849"/>
      <c r="AX504" s="849"/>
      <c r="AY504" s="849"/>
      <c r="AZ504" s="849"/>
      <c r="BA504" s="849"/>
      <c r="BB504" s="849"/>
      <c r="BC504" s="849"/>
      <c r="BD504" s="849"/>
      <c r="BE504" s="849"/>
      <c r="BF504" s="849"/>
      <c r="BG504" s="849"/>
      <c r="BH504" s="849"/>
      <c r="BI504" s="849"/>
      <c r="BJ504" s="849"/>
      <c r="BK504" s="849"/>
      <c r="BL504" s="849"/>
      <c r="BM504" s="849"/>
      <c r="BN504" s="849"/>
      <c r="BO504" s="849"/>
      <c r="BP504" s="849"/>
      <c r="BQ504" s="849"/>
      <c r="BR504" s="849"/>
      <c r="BS504" s="849"/>
      <c r="BT504" s="849"/>
      <c r="BU504" s="849"/>
      <c r="BV504" s="849"/>
      <c r="BW504" s="849"/>
      <c r="BX504" s="849"/>
      <c r="BY504" s="849"/>
      <c r="BZ504" s="849"/>
      <c r="CA504" s="849"/>
      <c r="CB504" s="849"/>
      <c r="CC504" s="849"/>
      <c r="CD504" s="849"/>
      <c r="CE504" s="849"/>
      <c r="CF504" s="849"/>
      <c r="CG504" s="849"/>
      <c r="CH504" s="849"/>
      <c r="CI504" s="849"/>
      <c r="CJ504" s="849"/>
      <c r="CK504" s="849"/>
      <c r="CL504" s="849"/>
      <c r="CM504" s="849"/>
      <c r="CN504" s="849"/>
      <c r="CO504" s="849"/>
      <c r="CP504" s="849"/>
      <c r="CQ504" s="849"/>
      <c r="CR504" s="849"/>
      <c r="CS504" s="849"/>
      <c r="CT504" s="849"/>
      <c r="CU504" s="849"/>
      <c r="CV504" s="849"/>
      <c r="CW504" s="849"/>
      <c r="CX504" s="849"/>
      <c r="CY504" s="849"/>
      <c r="CZ504" s="849"/>
      <c r="DA504" s="849"/>
      <c r="DB504" s="849"/>
      <c r="DC504" s="849"/>
      <c r="DD504" s="849"/>
      <c r="DE504" s="849"/>
      <c r="DF504" s="849"/>
      <c r="DG504" s="849"/>
      <c r="DH504" s="849"/>
      <c r="DI504" s="849"/>
      <c r="DJ504" s="849"/>
      <c r="DK504" s="849"/>
      <c r="DL504" s="849"/>
      <c r="DM504" s="849"/>
      <c r="DN504" s="849"/>
      <c r="DO504" s="849"/>
      <c r="DP504" s="849"/>
      <c r="DQ504" s="849"/>
      <c r="DR504" s="849"/>
      <c r="DS504" s="849"/>
      <c r="DT504" s="849"/>
      <c r="DU504" s="849"/>
      <c r="DV504" s="849"/>
      <c r="DW504" s="849"/>
      <c r="DX504" s="849"/>
      <c r="DY504" s="849"/>
      <c r="DZ504" s="849"/>
      <c r="EA504" s="849"/>
      <c r="EB504" s="849"/>
      <c r="EC504" s="849"/>
      <c r="ED504" s="849"/>
      <c r="EE504" s="849"/>
      <c r="EF504" s="849"/>
      <c r="EG504" s="849"/>
      <c r="EH504" s="849"/>
      <c r="EI504" s="849"/>
      <c r="EJ504" s="849"/>
      <c r="EK504" s="849"/>
      <c r="EL504" s="849"/>
      <c r="EM504" s="849"/>
      <c r="EN504" s="849"/>
      <c r="EO504" s="849"/>
      <c r="EP504" s="849"/>
      <c r="EQ504" s="849"/>
      <c r="ER504" s="849"/>
      <c r="ES504" s="849"/>
      <c r="ET504" s="849"/>
      <c r="EU504" s="849"/>
      <c r="EV504" s="849"/>
      <c r="EW504" s="849"/>
      <c r="EX504" s="849"/>
      <c r="EY504" s="849"/>
      <c r="EZ504" s="849"/>
      <c r="FA504" s="849"/>
      <c r="FB504" s="849"/>
      <c r="FC504" s="849"/>
      <c r="FD504" s="849"/>
      <c r="FE504" s="849"/>
      <c r="FF504" s="849"/>
      <c r="FG504" s="849"/>
      <c r="FH504" s="849"/>
      <c r="FI504" s="849"/>
      <c r="FJ504" s="849"/>
      <c r="FK504" s="849"/>
      <c r="FL504" s="849"/>
      <c r="FM504" s="849"/>
      <c r="FN504" s="849"/>
      <c r="FO504" s="849"/>
      <c r="FP504" s="849"/>
      <c r="FQ504" s="849"/>
      <c r="FR504" s="849"/>
      <c r="FS504" s="849"/>
      <c r="FT504" s="849"/>
      <c r="FU504" s="849"/>
      <c r="FV504" s="849"/>
      <c r="FW504" s="849"/>
      <c r="FX504" s="849"/>
      <c r="FY504" s="849"/>
      <c r="FZ504" s="849"/>
      <c r="GA504" s="849"/>
      <c r="GB504" s="849"/>
      <c r="GC504" s="849"/>
      <c r="GD504" s="849"/>
      <c r="GE504" s="849"/>
      <c r="GF504" s="849"/>
      <c r="GG504" s="849"/>
      <c r="GH504" s="849"/>
      <c r="GI504" s="849"/>
      <c r="GJ504" s="849"/>
      <c r="GK504" s="849"/>
      <c r="GL504" s="849"/>
      <c r="GM504" s="849"/>
      <c r="GN504" s="849"/>
      <c r="GO504" s="849"/>
      <c r="GP504" s="849"/>
      <c r="GQ504" s="849"/>
      <c r="GR504" s="849"/>
      <c r="GS504" s="849"/>
      <c r="GT504" s="849"/>
      <c r="GU504" s="849"/>
      <c r="GV504" s="849"/>
      <c r="GW504" s="849"/>
      <c r="GX504" s="849"/>
      <c r="GY504" s="849"/>
      <c r="GZ504" s="849"/>
      <c r="HA504" s="849"/>
      <c r="HB504" s="849"/>
      <c r="HC504" s="849"/>
      <c r="HD504" s="849"/>
      <c r="HE504" s="849"/>
      <c r="HF504" s="849"/>
      <c r="HG504" s="849"/>
      <c r="HH504" s="849"/>
      <c r="HI504" s="849"/>
      <c r="HJ504" s="849"/>
      <c r="HK504" s="849"/>
      <c r="HL504" s="849"/>
      <c r="HM504" s="849"/>
      <c r="HN504" s="849"/>
      <c r="HO504" s="849"/>
      <c r="HP504" s="849"/>
      <c r="HQ504" s="849"/>
      <c r="HR504" s="849"/>
    </row>
    <row r="505" spans="1:226" s="850" customFormat="1" ht="15" customHeight="1">
      <c r="A505" s="1505"/>
      <c r="B505" s="1508"/>
      <c r="C505" s="1517"/>
      <c r="D505" s="1544"/>
      <c r="E505" s="897">
        <v>6059</v>
      </c>
      <c r="F505" s="856">
        <f>SUM(G505:J505)</f>
        <v>60000</v>
      </c>
      <c r="G505" s="856">
        <v>60000</v>
      </c>
      <c r="H505" s="856"/>
      <c r="I505" s="856"/>
      <c r="J505" s="857"/>
      <c r="K505" s="849"/>
    </row>
    <row r="506" spans="1:226" s="850" customFormat="1" ht="24.95" customHeight="1">
      <c r="A506" s="1500" t="s">
        <v>1014</v>
      </c>
      <c r="B506" s="1501" t="s">
        <v>1035</v>
      </c>
      <c r="C506" s="1495">
        <v>600</v>
      </c>
      <c r="D506" s="1502" t="s">
        <v>310</v>
      </c>
      <c r="E506" s="846" t="s">
        <v>976</v>
      </c>
      <c r="F506" s="847">
        <f>SUM(F507,F514)</f>
        <v>400000</v>
      </c>
      <c r="G506" s="847">
        <f>SUM(G507,G514)</f>
        <v>60000</v>
      </c>
      <c r="H506" s="847">
        <f>SUM(H507,H514)</f>
        <v>340000</v>
      </c>
      <c r="I506" s="847">
        <f>SUM(I507,I514)</f>
        <v>0</v>
      </c>
      <c r="J506" s="848">
        <f>SUM(J507,J514)</f>
        <v>0</v>
      </c>
      <c r="K506" s="849"/>
    </row>
    <row r="507" spans="1:226" s="850" customFormat="1" ht="24.95" customHeight="1">
      <c r="A507" s="1500"/>
      <c r="B507" s="1501"/>
      <c r="C507" s="1495"/>
      <c r="D507" s="1502"/>
      <c r="E507" s="851" t="s">
        <v>383</v>
      </c>
      <c r="F507" s="852">
        <f>SUM(F508,F511)</f>
        <v>0</v>
      </c>
      <c r="G507" s="852">
        <f>SUM(G508,G511)</f>
        <v>0</v>
      </c>
      <c r="H507" s="852">
        <f>SUM(H508,H511)</f>
        <v>0</v>
      </c>
      <c r="I507" s="852">
        <f>SUM(I508,I511)</f>
        <v>0</v>
      </c>
      <c r="J507" s="853">
        <f>SUM(J508,J511)</f>
        <v>0</v>
      </c>
      <c r="K507" s="849"/>
    </row>
    <row r="508" spans="1:226" s="850" customFormat="1" ht="24.95" hidden="1" customHeight="1">
      <c r="A508" s="1500"/>
      <c r="B508" s="1501"/>
      <c r="C508" s="1495"/>
      <c r="D508" s="1502"/>
      <c r="E508" s="860" t="s">
        <v>981</v>
      </c>
      <c r="F508" s="861">
        <f>SUM(F509:F510)</f>
        <v>0</v>
      </c>
      <c r="G508" s="861">
        <f>SUM(G509:G510)</f>
        <v>0</v>
      </c>
      <c r="H508" s="861">
        <f>SUM(H509:H510)</f>
        <v>0</v>
      </c>
      <c r="I508" s="861">
        <f>SUM(I509:I510)</f>
        <v>0</v>
      </c>
      <c r="J508" s="862">
        <f>SUM(J509:J510)</f>
        <v>0</v>
      </c>
      <c r="K508" s="849"/>
    </row>
    <row r="509" spans="1:226" s="850" customFormat="1" ht="15" hidden="1" customHeight="1">
      <c r="A509" s="1500"/>
      <c r="B509" s="1501"/>
      <c r="C509" s="1495"/>
      <c r="D509" s="1502"/>
      <c r="E509" s="855"/>
      <c r="F509" s="856">
        <f>SUM(G509:J509)</f>
        <v>0</v>
      </c>
      <c r="G509" s="856"/>
      <c r="H509" s="856"/>
      <c r="I509" s="856"/>
      <c r="J509" s="857"/>
      <c r="K509" s="849"/>
    </row>
    <row r="510" spans="1:226" s="850" customFormat="1" ht="15" hidden="1" customHeight="1">
      <c r="A510" s="1500"/>
      <c r="B510" s="1501"/>
      <c r="C510" s="1495"/>
      <c r="D510" s="1502"/>
      <c r="E510" s="855"/>
      <c r="F510" s="856">
        <f>SUM(G510:J510)</f>
        <v>0</v>
      </c>
      <c r="G510" s="856"/>
      <c r="H510" s="856"/>
      <c r="I510" s="856"/>
      <c r="J510" s="857"/>
      <c r="K510" s="849"/>
      <c r="L510" s="849"/>
      <c r="M510" s="849"/>
      <c r="N510" s="849"/>
      <c r="O510" s="849"/>
      <c r="P510" s="849"/>
      <c r="Q510" s="849"/>
      <c r="R510" s="849"/>
      <c r="S510" s="849"/>
      <c r="T510" s="849"/>
      <c r="U510" s="849"/>
      <c r="V510" s="849"/>
      <c r="W510" s="849"/>
      <c r="X510" s="849"/>
      <c r="Y510" s="849"/>
      <c r="Z510" s="849"/>
      <c r="AA510" s="849"/>
      <c r="AB510" s="849"/>
      <c r="AC510" s="849"/>
      <c r="AD510" s="849"/>
      <c r="AE510" s="849"/>
      <c r="AF510" s="849"/>
      <c r="AG510" s="849"/>
      <c r="AH510" s="849"/>
      <c r="AI510" s="849"/>
      <c r="AJ510" s="849"/>
      <c r="AK510" s="849"/>
      <c r="AL510" s="849"/>
      <c r="AM510" s="849"/>
      <c r="AN510" s="849"/>
      <c r="AO510" s="849"/>
      <c r="AP510" s="849"/>
      <c r="AQ510" s="849"/>
      <c r="AR510" s="849"/>
      <c r="AS510" s="849"/>
      <c r="AT510" s="849"/>
      <c r="AU510" s="849"/>
      <c r="AV510" s="849"/>
      <c r="AW510" s="849"/>
      <c r="AX510" s="849"/>
      <c r="AY510" s="849"/>
      <c r="AZ510" s="849"/>
      <c r="BA510" s="849"/>
      <c r="BB510" s="849"/>
      <c r="BC510" s="849"/>
      <c r="BD510" s="849"/>
      <c r="BE510" s="849"/>
      <c r="BF510" s="849"/>
      <c r="BG510" s="849"/>
      <c r="BH510" s="849"/>
      <c r="BI510" s="849"/>
      <c r="BJ510" s="849"/>
      <c r="BK510" s="849"/>
      <c r="BL510" s="849"/>
      <c r="BM510" s="849"/>
      <c r="BN510" s="849"/>
      <c r="BO510" s="849"/>
      <c r="BP510" s="849"/>
      <c r="BQ510" s="849"/>
      <c r="BR510" s="849"/>
      <c r="BS510" s="849"/>
      <c r="BT510" s="849"/>
      <c r="BU510" s="849"/>
      <c r="BV510" s="849"/>
      <c r="BW510" s="849"/>
      <c r="BX510" s="849"/>
      <c r="BY510" s="849"/>
      <c r="BZ510" s="849"/>
      <c r="CA510" s="849"/>
      <c r="CB510" s="849"/>
      <c r="CC510" s="849"/>
      <c r="CD510" s="849"/>
      <c r="CE510" s="849"/>
      <c r="CF510" s="849"/>
      <c r="CG510" s="849"/>
      <c r="CH510" s="849"/>
      <c r="CI510" s="849"/>
      <c r="CJ510" s="849"/>
      <c r="CK510" s="849"/>
      <c r="CL510" s="849"/>
      <c r="CM510" s="849"/>
      <c r="CN510" s="849"/>
      <c r="CO510" s="849"/>
      <c r="CP510" s="849"/>
      <c r="CQ510" s="849"/>
      <c r="CR510" s="849"/>
      <c r="CS510" s="849"/>
      <c r="CT510" s="849"/>
      <c r="CU510" s="849"/>
      <c r="CV510" s="849"/>
      <c r="CW510" s="849"/>
      <c r="CX510" s="849"/>
      <c r="CY510" s="849"/>
      <c r="CZ510" s="849"/>
      <c r="DA510" s="849"/>
      <c r="DB510" s="849"/>
      <c r="DC510" s="849"/>
      <c r="DD510" s="849"/>
      <c r="DE510" s="849"/>
      <c r="DF510" s="849"/>
      <c r="DG510" s="849"/>
      <c r="DH510" s="849"/>
      <c r="DI510" s="849"/>
      <c r="DJ510" s="849"/>
      <c r="DK510" s="849"/>
      <c r="DL510" s="849"/>
      <c r="DM510" s="849"/>
      <c r="DN510" s="849"/>
      <c r="DO510" s="849"/>
      <c r="DP510" s="849"/>
      <c r="DQ510" s="849"/>
      <c r="DR510" s="849"/>
      <c r="DS510" s="849"/>
      <c r="DT510" s="849"/>
      <c r="DU510" s="849"/>
      <c r="DV510" s="849"/>
      <c r="DW510" s="849"/>
      <c r="DX510" s="849"/>
      <c r="DY510" s="849"/>
      <c r="DZ510" s="849"/>
      <c r="EA510" s="849"/>
      <c r="EB510" s="849"/>
      <c r="EC510" s="849"/>
      <c r="ED510" s="849"/>
      <c r="EE510" s="849"/>
      <c r="EF510" s="849"/>
      <c r="EG510" s="849"/>
      <c r="EH510" s="849"/>
      <c r="EI510" s="849"/>
      <c r="EJ510" s="849"/>
      <c r="EK510" s="849"/>
      <c r="EL510" s="849"/>
      <c r="EM510" s="849"/>
      <c r="EN510" s="849"/>
      <c r="EO510" s="849"/>
      <c r="EP510" s="849"/>
      <c r="EQ510" s="849"/>
      <c r="ER510" s="849"/>
      <c r="ES510" s="849"/>
      <c r="ET510" s="849"/>
      <c r="EU510" s="849"/>
      <c r="EV510" s="849"/>
      <c r="EW510" s="849"/>
      <c r="EX510" s="849"/>
      <c r="EY510" s="849"/>
      <c r="EZ510" s="849"/>
      <c r="FA510" s="849"/>
      <c r="FB510" s="849"/>
      <c r="FC510" s="849"/>
      <c r="FD510" s="849"/>
      <c r="FE510" s="849"/>
      <c r="FF510" s="849"/>
      <c r="FG510" s="849"/>
      <c r="FH510" s="849"/>
      <c r="FI510" s="849"/>
      <c r="FJ510" s="849"/>
      <c r="FK510" s="849"/>
      <c r="FL510" s="849"/>
      <c r="FM510" s="849"/>
      <c r="FN510" s="849"/>
      <c r="FO510" s="849"/>
      <c r="FP510" s="849"/>
      <c r="FQ510" s="849"/>
      <c r="FR510" s="849"/>
      <c r="FS510" s="849"/>
      <c r="FT510" s="849"/>
      <c r="FU510" s="849"/>
      <c r="FV510" s="849"/>
      <c r="FW510" s="849"/>
      <c r="FX510" s="849"/>
      <c r="FY510" s="849"/>
      <c r="FZ510" s="849"/>
      <c r="GA510" s="849"/>
      <c r="GB510" s="849"/>
      <c r="GC510" s="849"/>
      <c r="GD510" s="849"/>
      <c r="GE510" s="849"/>
      <c r="GF510" s="849"/>
      <c r="GG510" s="849"/>
      <c r="GH510" s="849"/>
      <c r="GI510" s="849"/>
      <c r="GJ510" s="849"/>
      <c r="GK510" s="849"/>
      <c r="GL510" s="849"/>
      <c r="GM510" s="849"/>
      <c r="GN510" s="849"/>
      <c r="GO510" s="849"/>
      <c r="GP510" s="849"/>
      <c r="GQ510" s="849"/>
      <c r="GR510" s="849"/>
      <c r="GS510" s="849"/>
      <c r="GT510" s="849"/>
      <c r="GU510" s="849"/>
      <c r="GV510" s="849"/>
      <c r="GW510" s="849"/>
      <c r="GX510" s="849"/>
      <c r="GY510" s="849"/>
      <c r="GZ510" s="849"/>
      <c r="HA510" s="849"/>
      <c r="HB510" s="849"/>
      <c r="HC510" s="849"/>
      <c r="HD510" s="849"/>
      <c r="HE510" s="849"/>
      <c r="HF510" s="849"/>
      <c r="HG510" s="849"/>
      <c r="HH510" s="849"/>
      <c r="HI510" s="849"/>
      <c r="HJ510" s="849"/>
      <c r="HK510" s="849"/>
      <c r="HL510" s="849"/>
      <c r="HM510" s="849"/>
      <c r="HN510" s="849"/>
      <c r="HO510" s="849"/>
      <c r="HP510" s="849"/>
      <c r="HQ510" s="849"/>
      <c r="HR510" s="849"/>
    </row>
    <row r="511" spans="1:226" s="850" customFormat="1" ht="24.95" hidden="1" customHeight="1">
      <c r="A511" s="1500"/>
      <c r="B511" s="1501"/>
      <c r="C511" s="1495"/>
      <c r="D511" s="1502"/>
      <c r="E511" s="860" t="s">
        <v>982</v>
      </c>
      <c r="F511" s="861">
        <f>SUM(F512:F513)</f>
        <v>0</v>
      </c>
      <c r="G511" s="861">
        <f>SUM(G512:G513)</f>
        <v>0</v>
      </c>
      <c r="H511" s="861">
        <f>SUM(H512:H513)</f>
        <v>0</v>
      </c>
      <c r="I511" s="861">
        <f>SUM(I512:I513)</f>
        <v>0</v>
      </c>
      <c r="J511" s="862">
        <f>SUM(J512:J513)</f>
        <v>0</v>
      </c>
      <c r="K511" s="849"/>
    </row>
    <row r="512" spans="1:226" s="850" customFormat="1" ht="15" hidden="1" customHeight="1">
      <c r="A512" s="1500"/>
      <c r="B512" s="1501"/>
      <c r="C512" s="1495"/>
      <c r="D512" s="1502"/>
      <c r="E512" s="855"/>
      <c r="F512" s="856">
        <f>SUM(G512:J512)</f>
        <v>0</v>
      </c>
      <c r="G512" s="856"/>
      <c r="H512" s="856"/>
      <c r="I512" s="856"/>
      <c r="J512" s="857"/>
      <c r="K512" s="849"/>
    </row>
    <row r="513" spans="1:226" s="850" customFormat="1" ht="15" hidden="1" customHeight="1">
      <c r="A513" s="1500"/>
      <c r="B513" s="1501"/>
      <c r="C513" s="1495"/>
      <c r="D513" s="1502"/>
      <c r="E513" s="855"/>
      <c r="F513" s="856">
        <f>SUM(G513:J513)</f>
        <v>0</v>
      </c>
      <c r="G513" s="856"/>
      <c r="H513" s="856"/>
      <c r="I513" s="856"/>
      <c r="J513" s="857"/>
      <c r="K513" s="849"/>
    </row>
    <row r="514" spans="1:226" s="850" customFormat="1" ht="24.95" customHeight="1">
      <c r="A514" s="1500"/>
      <c r="B514" s="1501"/>
      <c r="C514" s="1495"/>
      <c r="D514" s="1502"/>
      <c r="E514" s="858" t="s">
        <v>977</v>
      </c>
      <c r="F514" s="852">
        <f>SUM(F515:F519)</f>
        <v>400000</v>
      </c>
      <c r="G514" s="852">
        <f>SUM(G515:G519)</f>
        <v>60000</v>
      </c>
      <c r="H514" s="852">
        <f>SUM(H515:H519)</f>
        <v>340000</v>
      </c>
      <c r="I514" s="852">
        <f>SUM(I515:I519)</f>
        <v>0</v>
      </c>
      <c r="J514" s="853">
        <f>SUM(J515:J519)</f>
        <v>0</v>
      </c>
      <c r="K514" s="849"/>
    </row>
    <row r="515" spans="1:226" s="850" customFormat="1" ht="15" hidden="1" customHeight="1">
      <c r="A515" s="1500"/>
      <c r="B515" s="1501"/>
      <c r="C515" s="1495"/>
      <c r="D515" s="1502"/>
      <c r="E515" s="855" t="s">
        <v>204</v>
      </c>
      <c r="F515" s="856">
        <f>SUM(G515:J515)</f>
        <v>0</v>
      </c>
      <c r="G515" s="856"/>
      <c r="H515" s="856"/>
      <c r="I515" s="856"/>
      <c r="J515" s="857"/>
      <c r="K515" s="849"/>
    </row>
    <row r="516" spans="1:226" s="850" customFormat="1" ht="15" customHeight="1">
      <c r="A516" s="1503"/>
      <c r="B516" s="1506"/>
      <c r="C516" s="1516"/>
      <c r="D516" s="1542"/>
      <c r="E516" s="859" t="s">
        <v>316</v>
      </c>
      <c r="F516" s="856">
        <f>SUM(G516:J516)</f>
        <v>340000</v>
      </c>
      <c r="G516" s="911"/>
      <c r="H516" s="911">
        <v>340000</v>
      </c>
      <c r="I516" s="911"/>
      <c r="J516" s="912"/>
      <c r="K516" s="849"/>
    </row>
    <row r="517" spans="1:226" s="850" customFormat="1" ht="15" customHeight="1">
      <c r="A517" s="1503"/>
      <c r="B517" s="1506"/>
      <c r="C517" s="1516"/>
      <c r="D517" s="1542"/>
      <c r="E517" s="859" t="s">
        <v>253</v>
      </c>
      <c r="F517" s="856">
        <f>SUM(G517:J517)</f>
        <v>60000</v>
      </c>
      <c r="G517" s="911">
        <v>60000</v>
      </c>
      <c r="H517" s="911"/>
      <c r="I517" s="911"/>
      <c r="J517" s="912"/>
      <c r="K517" s="849"/>
    </row>
    <row r="518" spans="1:226" s="850" customFormat="1" ht="15" hidden="1" customHeight="1">
      <c r="A518" s="1503"/>
      <c r="B518" s="1506"/>
      <c r="C518" s="1516"/>
      <c r="D518" s="1542"/>
      <c r="E518" s="859" t="s">
        <v>303</v>
      </c>
      <c r="F518" s="856">
        <f>SUM(G518:J518)</f>
        <v>0</v>
      </c>
      <c r="G518" s="911"/>
      <c r="H518" s="911"/>
      <c r="I518" s="911"/>
      <c r="J518" s="912"/>
      <c r="K518" s="849"/>
    </row>
    <row r="519" spans="1:226" s="850" customFormat="1" ht="15" hidden="1" customHeight="1">
      <c r="A519" s="1503"/>
      <c r="B519" s="1506"/>
      <c r="C519" s="1516"/>
      <c r="D519" s="1542"/>
      <c r="E519" s="910">
        <v>6069</v>
      </c>
      <c r="F519" s="911">
        <f>SUM(G519:J519)</f>
        <v>0</v>
      </c>
      <c r="G519" s="911"/>
      <c r="H519" s="911"/>
      <c r="I519" s="911"/>
      <c r="J519" s="912"/>
      <c r="K519" s="849"/>
    </row>
    <row r="520" spans="1:226" s="850" customFormat="1" ht="24.95" customHeight="1">
      <c r="A520" s="1503" t="s">
        <v>1016</v>
      </c>
      <c r="B520" s="1506" t="s">
        <v>1036</v>
      </c>
      <c r="C520" s="1516">
        <v>600</v>
      </c>
      <c r="D520" s="1542" t="s">
        <v>310</v>
      </c>
      <c r="E520" s="846" t="s">
        <v>976</v>
      </c>
      <c r="F520" s="847">
        <f>SUM(F521,F528)</f>
        <v>30000000</v>
      </c>
      <c r="G520" s="847">
        <f>SUM(G521,G528)</f>
        <v>4500000</v>
      </c>
      <c r="H520" s="847">
        <f>SUM(H521,H528)</f>
        <v>25500000</v>
      </c>
      <c r="I520" s="847">
        <f>SUM(I521,I528)</f>
        <v>0</v>
      </c>
      <c r="J520" s="848">
        <f>SUM(J521,J528)</f>
        <v>0</v>
      </c>
      <c r="K520" s="849"/>
    </row>
    <row r="521" spans="1:226" s="850" customFormat="1" ht="24.95" customHeight="1">
      <c r="A521" s="1504"/>
      <c r="B521" s="1507"/>
      <c r="C521" s="1541"/>
      <c r="D521" s="1543"/>
      <c r="E521" s="851" t="s">
        <v>383</v>
      </c>
      <c r="F521" s="852">
        <f>SUM(F522,F525)</f>
        <v>0</v>
      </c>
      <c r="G521" s="852">
        <f>SUM(G522,G525)</f>
        <v>0</v>
      </c>
      <c r="H521" s="852">
        <f>SUM(H522,H525)</f>
        <v>0</v>
      </c>
      <c r="I521" s="852">
        <f>SUM(I522,I525)</f>
        <v>0</v>
      </c>
      <c r="J521" s="853">
        <f>SUM(J522,J525)</f>
        <v>0</v>
      </c>
      <c r="K521" s="849"/>
    </row>
    <row r="522" spans="1:226" s="850" customFormat="1" ht="24.95" hidden="1" customHeight="1">
      <c r="A522" s="1504"/>
      <c r="B522" s="1507"/>
      <c r="C522" s="1541"/>
      <c r="D522" s="1543"/>
      <c r="E522" s="860" t="s">
        <v>981</v>
      </c>
      <c r="F522" s="861">
        <f>SUM(F523:F524)</f>
        <v>0</v>
      </c>
      <c r="G522" s="861">
        <f>SUM(G523:G524)</f>
        <v>0</v>
      </c>
      <c r="H522" s="861">
        <f>SUM(H523:H524)</f>
        <v>0</v>
      </c>
      <c r="I522" s="861">
        <f>SUM(I523:I524)</f>
        <v>0</v>
      </c>
      <c r="J522" s="862">
        <f>SUM(J523:J524)</f>
        <v>0</v>
      </c>
      <c r="K522" s="849"/>
    </row>
    <row r="523" spans="1:226" s="850" customFormat="1" ht="15" hidden="1" customHeight="1">
      <c r="A523" s="1504"/>
      <c r="B523" s="1507"/>
      <c r="C523" s="1541"/>
      <c r="D523" s="1543"/>
      <c r="E523" s="855"/>
      <c r="F523" s="856">
        <f>SUM(G523:J523)</f>
        <v>0</v>
      </c>
      <c r="G523" s="856"/>
      <c r="H523" s="856"/>
      <c r="I523" s="856"/>
      <c r="J523" s="857"/>
      <c r="K523" s="849"/>
    </row>
    <row r="524" spans="1:226" s="850" customFormat="1" ht="15" hidden="1" customHeight="1">
      <c r="A524" s="1504"/>
      <c r="B524" s="1507"/>
      <c r="C524" s="1541"/>
      <c r="D524" s="1543"/>
      <c r="E524" s="855"/>
      <c r="F524" s="856">
        <f>SUM(G524:J524)</f>
        <v>0</v>
      </c>
      <c r="G524" s="856"/>
      <c r="H524" s="856"/>
      <c r="I524" s="856"/>
      <c r="J524" s="857"/>
      <c r="K524" s="849"/>
    </row>
    <row r="525" spans="1:226" s="850" customFormat="1" ht="24.95" hidden="1" customHeight="1">
      <c r="A525" s="1504"/>
      <c r="B525" s="1507"/>
      <c r="C525" s="1541"/>
      <c r="D525" s="1543"/>
      <c r="E525" s="860" t="s">
        <v>982</v>
      </c>
      <c r="F525" s="861">
        <f>SUM(F526:F527)</f>
        <v>0</v>
      </c>
      <c r="G525" s="861">
        <f>SUM(G526:G527)</f>
        <v>0</v>
      </c>
      <c r="H525" s="861">
        <f>SUM(H526:H527)</f>
        <v>0</v>
      </c>
      <c r="I525" s="861">
        <f>SUM(I526:I527)</f>
        <v>0</v>
      </c>
      <c r="J525" s="862">
        <f>SUM(J526:J527)</f>
        <v>0</v>
      </c>
      <c r="K525" s="849"/>
    </row>
    <row r="526" spans="1:226" s="850" customFormat="1" ht="15" hidden="1" customHeight="1">
      <c r="A526" s="1504"/>
      <c r="B526" s="1507"/>
      <c r="C526" s="1541"/>
      <c r="D526" s="1543"/>
      <c r="E526" s="855"/>
      <c r="F526" s="856">
        <f>SUM(G526:J526)</f>
        <v>0</v>
      </c>
      <c r="G526" s="856"/>
      <c r="H526" s="856"/>
      <c r="I526" s="856"/>
      <c r="J526" s="857"/>
      <c r="K526" s="849"/>
    </row>
    <row r="527" spans="1:226" s="850" customFormat="1" ht="15" hidden="1" customHeight="1">
      <c r="A527" s="1504"/>
      <c r="B527" s="1507"/>
      <c r="C527" s="1541"/>
      <c r="D527" s="1543"/>
      <c r="E527" s="855"/>
      <c r="F527" s="856">
        <f>SUM(G527:J527)</f>
        <v>0</v>
      </c>
      <c r="G527" s="856"/>
      <c r="H527" s="856"/>
      <c r="I527" s="856"/>
      <c r="J527" s="857"/>
      <c r="K527" s="849"/>
    </row>
    <row r="528" spans="1:226" s="850" customFormat="1" ht="24.95" customHeight="1">
      <c r="A528" s="1504"/>
      <c r="B528" s="1507"/>
      <c r="C528" s="1541"/>
      <c r="D528" s="1543"/>
      <c r="E528" s="858" t="s">
        <v>977</v>
      </c>
      <c r="F528" s="852">
        <f>SUM(F529:F534)</f>
        <v>30000000</v>
      </c>
      <c r="G528" s="852">
        <f>SUM(G529:G534)</f>
        <v>4500000</v>
      </c>
      <c r="H528" s="852">
        <f>SUM(H529:H534)</f>
        <v>25500000</v>
      </c>
      <c r="I528" s="852">
        <f>SUM(I529:I534)</f>
        <v>0</v>
      </c>
      <c r="J528" s="853">
        <f>SUM(J529:J534)</f>
        <v>0</v>
      </c>
      <c r="K528" s="849"/>
      <c r="L528" s="849"/>
      <c r="M528" s="849"/>
      <c r="N528" s="849"/>
      <c r="O528" s="849"/>
      <c r="P528" s="849"/>
      <c r="Q528" s="849"/>
      <c r="R528" s="849"/>
      <c r="S528" s="849"/>
      <c r="T528" s="849"/>
      <c r="U528" s="849"/>
      <c r="V528" s="849"/>
      <c r="W528" s="849"/>
      <c r="X528" s="849"/>
      <c r="Y528" s="849"/>
      <c r="Z528" s="849"/>
      <c r="AA528" s="849"/>
      <c r="AB528" s="849"/>
      <c r="AC528" s="849"/>
      <c r="AD528" s="849"/>
      <c r="AE528" s="849"/>
      <c r="AF528" s="849"/>
      <c r="AG528" s="849"/>
      <c r="AH528" s="849"/>
      <c r="AI528" s="849"/>
      <c r="AJ528" s="849"/>
      <c r="AK528" s="849"/>
      <c r="AL528" s="849"/>
      <c r="AM528" s="849"/>
      <c r="AN528" s="849"/>
      <c r="AO528" s="849"/>
      <c r="AP528" s="849"/>
      <c r="AQ528" s="849"/>
      <c r="AR528" s="849"/>
      <c r="AS528" s="849"/>
      <c r="AT528" s="849"/>
      <c r="AU528" s="849"/>
      <c r="AV528" s="849"/>
      <c r="AW528" s="849"/>
      <c r="AX528" s="849"/>
      <c r="AY528" s="849"/>
      <c r="AZ528" s="849"/>
      <c r="BA528" s="849"/>
      <c r="BB528" s="849"/>
      <c r="BC528" s="849"/>
      <c r="BD528" s="849"/>
      <c r="BE528" s="849"/>
      <c r="BF528" s="849"/>
      <c r="BG528" s="849"/>
      <c r="BH528" s="849"/>
      <c r="BI528" s="849"/>
      <c r="BJ528" s="849"/>
      <c r="BK528" s="849"/>
      <c r="BL528" s="849"/>
      <c r="BM528" s="849"/>
      <c r="BN528" s="849"/>
      <c r="BO528" s="849"/>
      <c r="BP528" s="849"/>
      <c r="BQ528" s="849"/>
      <c r="BR528" s="849"/>
      <c r="BS528" s="849"/>
      <c r="BT528" s="849"/>
      <c r="BU528" s="849"/>
      <c r="BV528" s="849"/>
      <c r="BW528" s="849"/>
      <c r="BX528" s="849"/>
      <c r="BY528" s="849"/>
      <c r="BZ528" s="849"/>
      <c r="CA528" s="849"/>
      <c r="CB528" s="849"/>
      <c r="CC528" s="849"/>
      <c r="CD528" s="849"/>
      <c r="CE528" s="849"/>
      <c r="CF528" s="849"/>
      <c r="CG528" s="849"/>
      <c r="CH528" s="849"/>
      <c r="CI528" s="849"/>
      <c r="CJ528" s="849"/>
      <c r="CK528" s="849"/>
      <c r="CL528" s="849"/>
      <c r="CM528" s="849"/>
      <c r="CN528" s="849"/>
      <c r="CO528" s="849"/>
      <c r="CP528" s="849"/>
      <c r="CQ528" s="849"/>
      <c r="CR528" s="849"/>
      <c r="CS528" s="849"/>
      <c r="CT528" s="849"/>
      <c r="CU528" s="849"/>
      <c r="CV528" s="849"/>
      <c r="CW528" s="849"/>
      <c r="CX528" s="849"/>
      <c r="CY528" s="849"/>
      <c r="CZ528" s="849"/>
      <c r="DA528" s="849"/>
      <c r="DB528" s="849"/>
      <c r="DC528" s="849"/>
      <c r="DD528" s="849"/>
      <c r="DE528" s="849"/>
      <c r="DF528" s="849"/>
      <c r="DG528" s="849"/>
      <c r="DH528" s="849"/>
      <c r="DI528" s="849"/>
      <c r="DJ528" s="849"/>
      <c r="DK528" s="849"/>
      <c r="DL528" s="849"/>
      <c r="DM528" s="849"/>
      <c r="DN528" s="849"/>
      <c r="DO528" s="849"/>
      <c r="DP528" s="849"/>
      <c r="DQ528" s="849"/>
      <c r="DR528" s="849"/>
      <c r="DS528" s="849"/>
      <c r="DT528" s="849"/>
      <c r="DU528" s="849"/>
      <c r="DV528" s="849"/>
      <c r="DW528" s="849"/>
      <c r="DX528" s="849"/>
      <c r="DY528" s="849"/>
      <c r="DZ528" s="849"/>
      <c r="EA528" s="849"/>
      <c r="EB528" s="849"/>
      <c r="EC528" s="849"/>
      <c r="ED528" s="849"/>
      <c r="EE528" s="849"/>
      <c r="EF528" s="849"/>
      <c r="EG528" s="849"/>
      <c r="EH528" s="849"/>
      <c r="EI528" s="849"/>
      <c r="EJ528" s="849"/>
      <c r="EK528" s="849"/>
      <c r="EL528" s="849"/>
      <c r="EM528" s="849"/>
      <c r="EN528" s="849"/>
      <c r="EO528" s="849"/>
      <c r="EP528" s="849"/>
      <c r="EQ528" s="849"/>
      <c r="ER528" s="849"/>
      <c r="ES528" s="849"/>
      <c r="ET528" s="849"/>
      <c r="EU528" s="849"/>
      <c r="EV528" s="849"/>
      <c r="EW528" s="849"/>
      <c r="EX528" s="849"/>
      <c r="EY528" s="849"/>
      <c r="EZ528" s="849"/>
      <c r="FA528" s="849"/>
      <c r="FB528" s="849"/>
      <c r="FC528" s="849"/>
      <c r="FD528" s="849"/>
      <c r="FE528" s="849"/>
      <c r="FF528" s="849"/>
      <c r="FG528" s="849"/>
      <c r="FH528" s="849"/>
      <c r="FI528" s="849"/>
      <c r="FJ528" s="849"/>
      <c r="FK528" s="849"/>
      <c r="FL528" s="849"/>
      <c r="FM528" s="849"/>
      <c r="FN528" s="849"/>
      <c r="FO528" s="849"/>
      <c r="FP528" s="849"/>
      <c r="FQ528" s="849"/>
      <c r="FR528" s="849"/>
      <c r="FS528" s="849"/>
      <c r="FT528" s="849"/>
      <c r="FU528" s="849"/>
      <c r="FV528" s="849"/>
      <c r="FW528" s="849"/>
      <c r="FX528" s="849"/>
      <c r="FY528" s="849"/>
      <c r="FZ528" s="849"/>
      <c r="GA528" s="849"/>
      <c r="GB528" s="849"/>
      <c r="GC528" s="849"/>
      <c r="GD528" s="849"/>
      <c r="GE528" s="849"/>
      <c r="GF528" s="849"/>
      <c r="GG528" s="849"/>
      <c r="GH528" s="849"/>
      <c r="GI528" s="849"/>
      <c r="GJ528" s="849"/>
      <c r="GK528" s="849"/>
      <c r="GL528" s="849"/>
      <c r="GM528" s="849"/>
      <c r="GN528" s="849"/>
      <c r="GO528" s="849"/>
      <c r="GP528" s="849"/>
      <c r="GQ528" s="849"/>
      <c r="GR528" s="849"/>
      <c r="GS528" s="849"/>
      <c r="GT528" s="849"/>
      <c r="GU528" s="849"/>
      <c r="GV528" s="849"/>
      <c r="GW528" s="849"/>
      <c r="GX528" s="849"/>
      <c r="GY528" s="849"/>
      <c r="GZ528" s="849"/>
      <c r="HA528" s="849"/>
      <c r="HB528" s="849"/>
      <c r="HC528" s="849"/>
      <c r="HD528" s="849"/>
      <c r="HE528" s="849"/>
      <c r="HF528" s="849"/>
      <c r="HG528" s="849"/>
      <c r="HH528" s="849"/>
      <c r="HI528" s="849"/>
      <c r="HJ528" s="849"/>
      <c r="HK528" s="849"/>
      <c r="HL528" s="849"/>
      <c r="HM528" s="849"/>
      <c r="HN528" s="849"/>
      <c r="HO528" s="849"/>
      <c r="HP528" s="849"/>
      <c r="HQ528" s="849"/>
      <c r="HR528" s="849"/>
    </row>
    <row r="529" spans="1:226" s="850" customFormat="1" ht="15" hidden="1" customHeight="1">
      <c r="A529" s="1504"/>
      <c r="B529" s="1507"/>
      <c r="C529" s="1541"/>
      <c r="D529" s="1543"/>
      <c r="E529" s="855" t="s">
        <v>204</v>
      </c>
      <c r="F529" s="856">
        <f t="shared" ref="F529:F534" si="27">SUM(G529:J529)</f>
        <v>0</v>
      </c>
      <c r="G529" s="856"/>
      <c r="H529" s="856"/>
      <c r="I529" s="856"/>
      <c r="J529" s="857"/>
      <c r="K529" s="849"/>
    </row>
    <row r="530" spans="1:226" s="850" customFormat="1" ht="15" customHeight="1">
      <c r="A530" s="1504"/>
      <c r="B530" s="1507"/>
      <c r="C530" s="1541"/>
      <c r="D530" s="1543"/>
      <c r="E530" s="910">
        <v>6057</v>
      </c>
      <c r="F530" s="911">
        <f t="shared" si="27"/>
        <v>17000000</v>
      </c>
      <c r="G530" s="911"/>
      <c r="H530" s="911">
        <v>17000000</v>
      </c>
      <c r="I530" s="911"/>
      <c r="J530" s="912"/>
      <c r="K530" s="849"/>
    </row>
    <row r="531" spans="1:226" s="850" customFormat="1" ht="15" customHeight="1">
      <c r="A531" s="1504"/>
      <c r="B531" s="1507"/>
      <c r="C531" s="1541"/>
      <c r="D531" s="1543"/>
      <c r="E531" s="910">
        <v>6059</v>
      </c>
      <c r="F531" s="911">
        <f t="shared" si="27"/>
        <v>3000000</v>
      </c>
      <c r="G531" s="911">
        <v>3000000</v>
      </c>
      <c r="H531" s="911"/>
      <c r="I531" s="911"/>
      <c r="J531" s="912"/>
      <c r="K531" s="849"/>
    </row>
    <row r="532" spans="1:226" s="850" customFormat="1" ht="15" customHeight="1">
      <c r="A532" s="1504"/>
      <c r="B532" s="1507"/>
      <c r="C532" s="1541"/>
      <c r="D532" s="1543"/>
      <c r="E532" s="910">
        <v>6060</v>
      </c>
      <c r="F532" s="911">
        <f t="shared" si="27"/>
        <v>500000</v>
      </c>
      <c r="G532" s="911">
        <v>500000</v>
      </c>
      <c r="H532" s="911"/>
      <c r="I532" s="911"/>
      <c r="J532" s="912"/>
      <c r="K532" s="849"/>
    </row>
    <row r="533" spans="1:226" s="850" customFormat="1" ht="15" customHeight="1">
      <c r="A533" s="1504"/>
      <c r="B533" s="1507"/>
      <c r="C533" s="1541"/>
      <c r="D533" s="1543"/>
      <c r="E533" s="859" t="s">
        <v>303</v>
      </c>
      <c r="F533" s="911">
        <f t="shared" si="27"/>
        <v>8500000</v>
      </c>
      <c r="G533" s="911"/>
      <c r="H533" s="911">
        <v>8500000</v>
      </c>
      <c r="I533" s="911"/>
      <c r="J533" s="912"/>
      <c r="K533" s="849"/>
    </row>
    <row r="534" spans="1:226" s="850" customFormat="1" ht="15" customHeight="1" thickBot="1">
      <c r="A534" s="1505"/>
      <c r="B534" s="1508"/>
      <c r="C534" s="1517"/>
      <c r="D534" s="1544"/>
      <c r="E534" s="910">
        <v>6069</v>
      </c>
      <c r="F534" s="911">
        <f t="shared" si="27"/>
        <v>1000000</v>
      </c>
      <c r="G534" s="911">
        <v>1000000</v>
      </c>
      <c r="H534" s="911"/>
      <c r="I534" s="911"/>
      <c r="J534" s="912"/>
      <c r="K534" s="849"/>
    </row>
    <row r="535" spans="1:226" s="850" customFormat="1" ht="24.95" customHeight="1">
      <c r="A535" s="907" t="s">
        <v>987</v>
      </c>
      <c r="B535" s="1537" t="s">
        <v>1037</v>
      </c>
      <c r="C535" s="1537"/>
      <c r="D535" s="1537"/>
      <c r="E535" s="1537"/>
      <c r="F535" s="908">
        <f>F537+F550</f>
        <v>4938000</v>
      </c>
      <c r="G535" s="908">
        <f t="shared" ref="G535:J535" si="28">G537+G550</f>
        <v>0</v>
      </c>
      <c r="H535" s="908">
        <f t="shared" si="28"/>
        <v>0</v>
      </c>
      <c r="I535" s="908">
        <f t="shared" si="28"/>
        <v>4938000</v>
      </c>
      <c r="J535" s="909">
        <f t="shared" si="28"/>
        <v>0</v>
      </c>
      <c r="K535" s="849"/>
    </row>
    <row r="536" spans="1:226" s="850" customFormat="1" ht="15" customHeight="1">
      <c r="A536" s="1538"/>
      <c r="B536" s="1539"/>
      <c r="C536" s="1539"/>
      <c r="D536" s="1539"/>
      <c r="E536" s="1539"/>
      <c r="F536" s="1539"/>
      <c r="G536" s="1539"/>
      <c r="H536" s="1539"/>
      <c r="I536" s="1539"/>
      <c r="J536" s="1540"/>
      <c r="K536" s="849"/>
      <c r="L536" s="849"/>
      <c r="M536" s="849"/>
      <c r="N536" s="849"/>
      <c r="O536" s="849"/>
      <c r="P536" s="849"/>
      <c r="Q536" s="849"/>
      <c r="R536" s="849"/>
      <c r="S536" s="849"/>
      <c r="T536" s="849"/>
      <c r="U536" s="849"/>
      <c r="V536" s="849"/>
      <c r="W536" s="849"/>
      <c r="X536" s="849"/>
      <c r="Y536" s="849"/>
      <c r="Z536" s="849"/>
      <c r="AA536" s="849"/>
      <c r="AB536" s="849"/>
      <c r="AC536" s="849"/>
      <c r="AD536" s="849"/>
      <c r="AE536" s="849"/>
      <c r="AF536" s="849"/>
      <c r="AG536" s="849"/>
      <c r="AH536" s="849"/>
      <c r="AI536" s="849"/>
      <c r="AJ536" s="849"/>
      <c r="AK536" s="849"/>
      <c r="AL536" s="849"/>
      <c r="AM536" s="849"/>
      <c r="AN536" s="849"/>
      <c r="AO536" s="849"/>
      <c r="AP536" s="849"/>
      <c r="AQ536" s="849"/>
      <c r="AR536" s="849"/>
      <c r="AS536" s="849"/>
      <c r="AT536" s="849"/>
      <c r="AU536" s="849"/>
      <c r="AV536" s="849"/>
      <c r="AW536" s="849"/>
      <c r="AX536" s="849"/>
      <c r="AY536" s="849"/>
      <c r="AZ536" s="849"/>
      <c r="BA536" s="849"/>
      <c r="BB536" s="849"/>
      <c r="BC536" s="849"/>
      <c r="BD536" s="849"/>
      <c r="BE536" s="849"/>
      <c r="BF536" s="849"/>
      <c r="BG536" s="849"/>
      <c r="BH536" s="849"/>
      <c r="BI536" s="849"/>
      <c r="BJ536" s="849"/>
      <c r="BK536" s="849"/>
      <c r="BL536" s="849"/>
      <c r="BM536" s="849"/>
      <c r="BN536" s="849"/>
      <c r="BO536" s="849"/>
      <c r="BP536" s="849"/>
      <c r="BQ536" s="849"/>
      <c r="BR536" s="849"/>
      <c r="BS536" s="849"/>
      <c r="BT536" s="849"/>
      <c r="BU536" s="849"/>
      <c r="BV536" s="849"/>
      <c r="BW536" s="849"/>
      <c r="BX536" s="849"/>
      <c r="BY536" s="849"/>
      <c r="BZ536" s="849"/>
      <c r="CA536" s="849"/>
      <c r="CB536" s="849"/>
      <c r="CC536" s="849"/>
      <c r="CD536" s="849"/>
      <c r="CE536" s="849"/>
      <c r="CF536" s="849"/>
      <c r="CG536" s="849"/>
      <c r="CH536" s="849"/>
      <c r="CI536" s="849"/>
      <c r="CJ536" s="849"/>
      <c r="CK536" s="849"/>
      <c r="CL536" s="849"/>
      <c r="CM536" s="849"/>
      <c r="CN536" s="849"/>
      <c r="CO536" s="849"/>
      <c r="CP536" s="849"/>
      <c r="CQ536" s="849"/>
      <c r="CR536" s="849"/>
      <c r="CS536" s="849"/>
      <c r="CT536" s="849"/>
      <c r="CU536" s="849"/>
      <c r="CV536" s="849"/>
      <c r="CW536" s="849"/>
      <c r="CX536" s="849"/>
      <c r="CY536" s="849"/>
      <c r="CZ536" s="849"/>
      <c r="DA536" s="849"/>
      <c r="DB536" s="849"/>
      <c r="DC536" s="849"/>
      <c r="DD536" s="849"/>
      <c r="DE536" s="849"/>
      <c r="DF536" s="849"/>
      <c r="DG536" s="849"/>
      <c r="DH536" s="849"/>
      <c r="DI536" s="849"/>
      <c r="DJ536" s="849"/>
      <c r="DK536" s="849"/>
      <c r="DL536" s="849"/>
      <c r="DM536" s="849"/>
      <c r="DN536" s="849"/>
      <c r="DO536" s="849"/>
      <c r="DP536" s="849"/>
      <c r="DQ536" s="849"/>
      <c r="DR536" s="849"/>
      <c r="DS536" s="849"/>
      <c r="DT536" s="849"/>
      <c r="DU536" s="849"/>
      <c r="DV536" s="849"/>
      <c r="DW536" s="849"/>
      <c r="DX536" s="849"/>
      <c r="DY536" s="849"/>
      <c r="DZ536" s="849"/>
      <c r="EA536" s="849"/>
      <c r="EB536" s="849"/>
      <c r="EC536" s="849"/>
      <c r="ED536" s="849"/>
      <c r="EE536" s="849"/>
      <c r="EF536" s="849"/>
      <c r="EG536" s="849"/>
      <c r="EH536" s="849"/>
      <c r="EI536" s="849"/>
      <c r="EJ536" s="849"/>
      <c r="EK536" s="849"/>
      <c r="EL536" s="849"/>
      <c r="EM536" s="849"/>
      <c r="EN536" s="849"/>
      <c r="EO536" s="849"/>
      <c r="EP536" s="849"/>
      <c r="EQ536" s="849"/>
      <c r="ER536" s="849"/>
      <c r="ES536" s="849"/>
      <c r="ET536" s="849"/>
      <c r="EU536" s="849"/>
      <c r="EV536" s="849"/>
      <c r="EW536" s="849"/>
      <c r="EX536" s="849"/>
      <c r="EY536" s="849"/>
      <c r="EZ536" s="849"/>
      <c r="FA536" s="849"/>
      <c r="FB536" s="849"/>
      <c r="FC536" s="849"/>
      <c r="FD536" s="849"/>
      <c r="FE536" s="849"/>
      <c r="FF536" s="849"/>
      <c r="FG536" s="849"/>
      <c r="FH536" s="849"/>
      <c r="FI536" s="849"/>
      <c r="FJ536" s="849"/>
      <c r="FK536" s="849"/>
      <c r="FL536" s="849"/>
      <c r="FM536" s="849"/>
      <c r="FN536" s="849"/>
      <c r="FO536" s="849"/>
      <c r="FP536" s="849"/>
      <c r="FQ536" s="849"/>
      <c r="FR536" s="849"/>
      <c r="FS536" s="849"/>
      <c r="FT536" s="849"/>
      <c r="FU536" s="849"/>
      <c r="FV536" s="849"/>
      <c r="FW536" s="849"/>
      <c r="FX536" s="849"/>
      <c r="FY536" s="849"/>
      <c r="FZ536" s="849"/>
      <c r="GA536" s="849"/>
      <c r="GB536" s="849"/>
      <c r="GC536" s="849"/>
      <c r="GD536" s="849"/>
      <c r="GE536" s="849"/>
      <c r="GF536" s="849"/>
      <c r="GG536" s="849"/>
      <c r="GH536" s="849"/>
      <c r="GI536" s="849"/>
      <c r="GJ536" s="849"/>
      <c r="GK536" s="849"/>
      <c r="GL536" s="849"/>
      <c r="GM536" s="849"/>
      <c r="GN536" s="849"/>
      <c r="GO536" s="849"/>
      <c r="GP536" s="849"/>
      <c r="GQ536" s="849"/>
      <c r="GR536" s="849"/>
      <c r="GS536" s="849"/>
      <c r="GT536" s="849"/>
      <c r="GU536" s="849"/>
      <c r="GV536" s="849"/>
      <c r="GW536" s="849"/>
      <c r="GX536" s="849"/>
      <c r="GY536" s="849"/>
      <c r="GZ536" s="849"/>
      <c r="HA536" s="849"/>
      <c r="HB536" s="849"/>
      <c r="HC536" s="849"/>
      <c r="HD536" s="849"/>
      <c r="HE536" s="849"/>
      <c r="HF536" s="849"/>
      <c r="HG536" s="849"/>
      <c r="HH536" s="849"/>
      <c r="HI536" s="849"/>
      <c r="HJ536" s="849"/>
      <c r="HK536" s="849"/>
      <c r="HL536" s="849"/>
      <c r="HM536" s="849"/>
      <c r="HN536" s="849"/>
      <c r="HO536" s="849"/>
      <c r="HP536" s="849"/>
      <c r="HQ536" s="849"/>
      <c r="HR536" s="849"/>
    </row>
    <row r="537" spans="1:226" s="850" customFormat="1" ht="24.95" customHeight="1">
      <c r="A537" s="1500" t="s">
        <v>974</v>
      </c>
      <c r="B537" s="1501" t="s">
        <v>1038</v>
      </c>
      <c r="C537" s="1502" t="s">
        <v>142</v>
      </c>
      <c r="D537" s="1542"/>
      <c r="E537" s="846" t="s">
        <v>976</v>
      </c>
      <c r="F537" s="847">
        <f>SUM(F538,F545)</f>
        <v>2170000</v>
      </c>
      <c r="G537" s="847">
        <f>SUM(G538,G545)</f>
        <v>0</v>
      </c>
      <c r="H537" s="847">
        <f>SUM(H538,H545)</f>
        <v>0</v>
      </c>
      <c r="I537" s="847">
        <f>SUM(I538,I545)</f>
        <v>2170000</v>
      </c>
      <c r="J537" s="848">
        <f>SUM(J538,J545)</f>
        <v>0</v>
      </c>
      <c r="K537" s="849"/>
    </row>
    <row r="538" spans="1:226" s="850" customFormat="1" ht="24.95" customHeight="1">
      <c r="A538" s="1500"/>
      <c r="B538" s="1501"/>
      <c r="C538" s="1502"/>
      <c r="D538" s="1543"/>
      <c r="E538" s="851" t="s">
        <v>383</v>
      </c>
      <c r="F538" s="852">
        <f>SUM(F539,F542)</f>
        <v>0</v>
      </c>
      <c r="G538" s="852">
        <f>SUM(G539,G542)</f>
        <v>0</v>
      </c>
      <c r="H538" s="852">
        <f>SUM(H539,H542)</f>
        <v>0</v>
      </c>
      <c r="I538" s="852">
        <f>SUM(I539,I542)</f>
        <v>0</v>
      </c>
      <c r="J538" s="853">
        <f>SUM(J539,J542)</f>
        <v>0</v>
      </c>
      <c r="K538" s="849"/>
    </row>
    <row r="539" spans="1:226" s="850" customFormat="1" ht="24.95" hidden="1" customHeight="1">
      <c r="A539" s="1500"/>
      <c r="B539" s="1501"/>
      <c r="C539" s="1502"/>
      <c r="D539" s="1543"/>
      <c r="E539" s="860" t="s">
        <v>981</v>
      </c>
      <c r="F539" s="861">
        <f>SUM(F540:F541)</f>
        <v>0</v>
      </c>
      <c r="G539" s="861">
        <f>SUM(G540:G541)</f>
        <v>0</v>
      </c>
      <c r="H539" s="861">
        <f>SUM(H540:H541)</f>
        <v>0</v>
      </c>
      <c r="I539" s="861">
        <f>SUM(I540:I541)</f>
        <v>0</v>
      </c>
      <c r="J539" s="862">
        <f>SUM(J540:J541)</f>
        <v>0</v>
      </c>
      <c r="K539" s="849"/>
    </row>
    <row r="540" spans="1:226" s="850" customFormat="1" ht="15" hidden="1" customHeight="1">
      <c r="A540" s="1500"/>
      <c r="B540" s="1501"/>
      <c r="C540" s="1502"/>
      <c r="D540" s="1543"/>
      <c r="E540" s="855"/>
      <c r="F540" s="856">
        <f>SUM(G540:J540)</f>
        <v>0</v>
      </c>
      <c r="G540" s="856"/>
      <c r="H540" s="856"/>
      <c r="I540" s="856"/>
      <c r="J540" s="857"/>
      <c r="K540" s="849"/>
    </row>
    <row r="541" spans="1:226" s="850" customFormat="1" ht="15" hidden="1" customHeight="1">
      <c r="A541" s="1500"/>
      <c r="B541" s="1501"/>
      <c r="C541" s="1502"/>
      <c r="D541" s="1543"/>
      <c r="E541" s="855"/>
      <c r="F541" s="856">
        <f>SUM(G541:J541)</f>
        <v>0</v>
      </c>
      <c r="G541" s="856"/>
      <c r="H541" s="856"/>
      <c r="I541" s="856"/>
      <c r="J541" s="857"/>
      <c r="K541" s="849"/>
    </row>
    <row r="542" spans="1:226" s="850" customFormat="1" ht="24.95" hidden="1" customHeight="1">
      <c r="A542" s="1500"/>
      <c r="B542" s="1501"/>
      <c r="C542" s="1502"/>
      <c r="D542" s="1543"/>
      <c r="E542" s="860" t="s">
        <v>982</v>
      </c>
      <c r="F542" s="861">
        <f>SUM(F543:F544)</f>
        <v>0</v>
      </c>
      <c r="G542" s="861">
        <f>SUM(G543:G544)</f>
        <v>0</v>
      </c>
      <c r="H542" s="861">
        <f>SUM(H543:H544)</f>
        <v>0</v>
      </c>
      <c r="I542" s="861">
        <f>SUM(I543:I544)</f>
        <v>0</v>
      </c>
      <c r="J542" s="862">
        <f>SUM(J543:J544)</f>
        <v>0</v>
      </c>
      <c r="K542" s="849"/>
    </row>
    <row r="543" spans="1:226" s="850" customFormat="1" ht="15" hidden="1" customHeight="1">
      <c r="A543" s="1500"/>
      <c r="B543" s="1501"/>
      <c r="C543" s="1502"/>
      <c r="D543" s="1543"/>
      <c r="E543" s="855"/>
      <c r="F543" s="856">
        <f>SUM(G543:J543)</f>
        <v>0</v>
      </c>
      <c r="G543" s="856"/>
      <c r="H543" s="856"/>
      <c r="I543" s="856"/>
      <c r="J543" s="857"/>
      <c r="K543" s="849"/>
    </row>
    <row r="544" spans="1:226" s="850" customFormat="1" ht="15" hidden="1" customHeight="1">
      <c r="A544" s="1500"/>
      <c r="B544" s="1501"/>
      <c r="C544" s="1502"/>
      <c r="D544" s="1543"/>
      <c r="E544" s="855"/>
      <c r="F544" s="856">
        <f>SUM(G544:J544)</f>
        <v>0</v>
      </c>
      <c r="G544" s="856"/>
      <c r="H544" s="856"/>
      <c r="I544" s="856"/>
      <c r="J544" s="857"/>
      <c r="K544" s="849"/>
    </row>
    <row r="545" spans="1:226" s="850" customFormat="1" ht="24.95" customHeight="1">
      <c r="A545" s="1500"/>
      <c r="B545" s="1501"/>
      <c r="C545" s="1502"/>
      <c r="D545" s="1543"/>
      <c r="E545" s="858" t="s">
        <v>977</v>
      </c>
      <c r="F545" s="852">
        <f>SUM(F546:F549)</f>
        <v>2170000</v>
      </c>
      <c r="G545" s="852">
        <f>SUM(G546:G549)</f>
        <v>0</v>
      </c>
      <c r="H545" s="852">
        <f>SUM(H546:H549)</f>
        <v>0</v>
      </c>
      <c r="I545" s="852">
        <f>SUM(I546:I549)</f>
        <v>2170000</v>
      </c>
      <c r="J545" s="853">
        <f>SUM(J546:J549)</f>
        <v>0</v>
      </c>
      <c r="K545" s="849"/>
    </row>
    <row r="546" spans="1:226" s="850" customFormat="1" ht="15" customHeight="1">
      <c r="A546" s="1500"/>
      <c r="B546" s="1501"/>
      <c r="C546" s="1502"/>
      <c r="D546" s="855" t="s">
        <v>197</v>
      </c>
      <c r="E546" s="855" t="s">
        <v>204</v>
      </c>
      <c r="F546" s="856">
        <f>SUM(G546:J546)</f>
        <v>170000</v>
      </c>
      <c r="G546" s="856"/>
      <c r="H546" s="856"/>
      <c r="I546" s="856">
        <v>170000</v>
      </c>
      <c r="J546" s="857"/>
      <c r="K546" s="849"/>
    </row>
    <row r="547" spans="1:226" s="850" customFormat="1" ht="15" customHeight="1">
      <c r="A547" s="1503"/>
      <c r="B547" s="1506"/>
      <c r="C547" s="1542"/>
      <c r="D547" s="1542" t="s">
        <v>251</v>
      </c>
      <c r="E547" s="859" t="s">
        <v>253</v>
      </c>
      <c r="F547" s="856">
        <f>SUM(G547:J547)</f>
        <v>2000000</v>
      </c>
      <c r="G547" s="911"/>
      <c r="H547" s="911"/>
      <c r="I547" s="911">
        <v>2000000</v>
      </c>
      <c r="J547" s="912"/>
      <c r="K547" s="849"/>
    </row>
    <row r="548" spans="1:226" s="850" customFormat="1" ht="15" hidden="1" customHeight="1">
      <c r="A548" s="1503"/>
      <c r="B548" s="1506"/>
      <c r="C548" s="1542"/>
      <c r="D548" s="1543"/>
      <c r="E548" s="859" t="s">
        <v>316</v>
      </c>
      <c r="F548" s="856">
        <f>SUM(G548:J548)</f>
        <v>0</v>
      </c>
      <c r="G548" s="911"/>
      <c r="H548" s="911"/>
      <c r="I548" s="911"/>
      <c r="J548" s="912"/>
      <c r="K548" s="849"/>
      <c r="L548" s="849"/>
      <c r="M548" s="849"/>
      <c r="N548" s="849"/>
      <c r="O548" s="849"/>
      <c r="P548" s="849"/>
      <c r="Q548" s="849"/>
      <c r="R548" s="849"/>
      <c r="S548" s="849"/>
      <c r="T548" s="849"/>
      <c r="U548" s="849"/>
      <c r="V548" s="849"/>
      <c r="W548" s="849"/>
      <c r="X548" s="849"/>
      <c r="Y548" s="849"/>
      <c r="Z548" s="849"/>
      <c r="AA548" s="849"/>
      <c r="AB548" s="849"/>
      <c r="AC548" s="849"/>
      <c r="AD548" s="849"/>
      <c r="AE548" s="849"/>
      <c r="AF548" s="849"/>
      <c r="AG548" s="849"/>
      <c r="AH548" s="849"/>
      <c r="AI548" s="849"/>
      <c r="AJ548" s="849"/>
      <c r="AK548" s="849"/>
      <c r="AL548" s="849"/>
      <c r="AM548" s="849"/>
      <c r="AN548" s="849"/>
      <c r="AO548" s="849"/>
      <c r="AP548" s="849"/>
      <c r="AQ548" s="849"/>
      <c r="AR548" s="849"/>
      <c r="AS548" s="849"/>
      <c r="AT548" s="849"/>
      <c r="AU548" s="849"/>
      <c r="AV548" s="849"/>
      <c r="AW548" s="849"/>
      <c r="AX548" s="849"/>
      <c r="AY548" s="849"/>
      <c r="AZ548" s="849"/>
      <c r="BA548" s="849"/>
      <c r="BB548" s="849"/>
      <c r="BC548" s="849"/>
      <c r="BD548" s="849"/>
      <c r="BE548" s="849"/>
      <c r="BF548" s="849"/>
      <c r="BG548" s="849"/>
      <c r="BH548" s="849"/>
      <c r="BI548" s="849"/>
      <c r="BJ548" s="849"/>
      <c r="BK548" s="849"/>
      <c r="BL548" s="849"/>
      <c r="BM548" s="849"/>
      <c r="BN548" s="849"/>
      <c r="BO548" s="849"/>
      <c r="BP548" s="849"/>
      <c r="BQ548" s="849"/>
      <c r="BR548" s="849"/>
      <c r="BS548" s="849"/>
      <c r="BT548" s="849"/>
      <c r="BU548" s="849"/>
      <c r="BV548" s="849"/>
      <c r="BW548" s="849"/>
      <c r="BX548" s="849"/>
      <c r="BY548" s="849"/>
      <c r="BZ548" s="849"/>
      <c r="CA548" s="849"/>
      <c r="CB548" s="849"/>
      <c r="CC548" s="849"/>
      <c r="CD548" s="849"/>
      <c r="CE548" s="849"/>
      <c r="CF548" s="849"/>
      <c r="CG548" s="849"/>
      <c r="CH548" s="849"/>
      <c r="CI548" s="849"/>
      <c r="CJ548" s="849"/>
      <c r="CK548" s="849"/>
      <c r="CL548" s="849"/>
      <c r="CM548" s="849"/>
      <c r="CN548" s="849"/>
      <c r="CO548" s="849"/>
      <c r="CP548" s="849"/>
      <c r="CQ548" s="849"/>
      <c r="CR548" s="849"/>
      <c r="CS548" s="849"/>
      <c r="CT548" s="849"/>
      <c r="CU548" s="849"/>
      <c r="CV548" s="849"/>
      <c r="CW548" s="849"/>
      <c r="CX548" s="849"/>
      <c r="CY548" s="849"/>
      <c r="CZ548" s="849"/>
      <c r="DA548" s="849"/>
      <c r="DB548" s="849"/>
      <c r="DC548" s="849"/>
      <c r="DD548" s="849"/>
      <c r="DE548" s="849"/>
      <c r="DF548" s="849"/>
      <c r="DG548" s="849"/>
      <c r="DH548" s="849"/>
      <c r="DI548" s="849"/>
      <c r="DJ548" s="849"/>
      <c r="DK548" s="849"/>
      <c r="DL548" s="849"/>
      <c r="DM548" s="849"/>
      <c r="DN548" s="849"/>
      <c r="DO548" s="849"/>
      <c r="DP548" s="849"/>
      <c r="DQ548" s="849"/>
      <c r="DR548" s="849"/>
      <c r="DS548" s="849"/>
      <c r="DT548" s="849"/>
      <c r="DU548" s="849"/>
      <c r="DV548" s="849"/>
      <c r="DW548" s="849"/>
      <c r="DX548" s="849"/>
      <c r="DY548" s="849"/>
      <c r="DZ548" s="849"/>
      <c r="EA548" s="849"/>
      <c r="EB548" s="849"/>
      <c r="EC548" s="849"/>
      <c r="ED548" s="849"/>
      <c r="EE548" s="849"/>
      <c r="EF548" s="849"/>
      <c r="EG548" s="849"/>
      <c r="EH548" s="849"/>
      <c r="EI548" s="849"/>
      <c r="EJ548" s="849"/>
      <c r="EK548" s="849"/>
      <c r="EL548" s="849"/>
      <c r="EM548" s="849"/>
      <c r="EN548" s="849"/>
      <c r="EO548" s="849"/>
      <c r="EP548" s="849"/>
      <c r="EQ548" s="849"/>
      <c r="ER548" s="849"/>
      <c r="ES548" s="849"/>
      <c r="ET548" s="849"/>
      <c r="EU548" s="849"/>
      <c r="EV548" s="849"/>
      <c r="EW548" s="849"/>
      <c r="EX548" s="849"/>
      <c r="EY548" s="849"/>
      <c r="EZ548" s="849"/>
      <c r="FA548" s="849"/>
      <c r="FB548" s="849"/>
      <c r="FC548" s="849"/>
      <c r="FD548" s="849"/>
      <c r="FE548" s="849"/>
      <c r="FF548" s="849"/>
      <c r="FG548" s="849"/>
      <c r="FH548" s="849"/>
      <c r="FI548" s="849"/>
      <c r="FJ548" s="849"/>
      <c r="FK548" s="849"/>
      <c r="FL548" s="849"/>
      <c r="FM548" s="849"/>
      <c r="FN548" s="849"/>
      <c r="FO548" s="849"/>
      <c r="FP548" s="849"/>
      <c r="FQ548" s="849"/>
      <c r="FR548" s="849"/>
      <c r="FS548" s="849"/>
      <c r="FT548" s="849"/>
      <c r="FU548" s="849"/>
      <c r="FV548" s="849"/>
      <c r="FW548" s="849"/>
      <c r="FX548" s="849"/>
      <c r="FY548" s="849"/>
      <c r="FZ548" s="849"/>
      <c r="GA548" s="849"/>
      <c r="GB548" s="849"/>
      <c r="GC548" s="849"/>
      <c r="GD548" s="849"/>
      <c r="GE548" s="849"/>
      <c r="GF548" s="849"/>
      <c r="GG548" s="849"/>
      <c r="GH548" s="849"/>
      <c r="GI548" s="849"/>
      <c r="GJ548" s="849"/>
      <c r="GK548" s="849"/>
      <c r="GL548" s="849"/>
      <c r="GM548" s="849"/>
      <c r="GN548" s="849"/>
      <c r="GO548" s="849"/>
      <c r="GP548" s="849"/>
      <c r="GQ548" s="849"/>
      <c r="GR548" s="849"/>
      <c r="GS548" s="849"/>
      <c r="GT548" s="849"/>
      <c r="GU548" s="849"/>
      <c r="GV548" s="849"/>
      <c r="GW548" s="849"/>
      <c r="GX548" s="849"/>
      <c r="GY548" s="849"/>
      <c r="GZ548" s="849"/>
      <c r="HA548" s="849"/>
      <c r="HB548" s="849"/>
      <c r="HC548" s="849"/>
      <c r="HD548" s="849"/>
      <c r="HE548" s="849"/>
      <c r="HF548" s="849"/>
      <c r="HG548" s="849"/>
      <c r="HH548" s="849"/>
      <c r="HI548" s="849"/>
      <c r="HJ548" s="849"/>
      <c r="HK548" s="849"/>
      <c r="HL548" s="849"/>
      <c r="HM548" s="849"/>
      <c r="HN548" s="849"/>
      <c r="HO548" s="849"/>
      <c r="HP548" s="849"/>
      <c r="HQ548" s="849"/>
      <c r="HR548" s="849"/>
    </row>
    <row r="549" spans="1:226" s="850" customFormat="1" ht="15" hidden="1" customHeight="1">
      <c r="A549" s="1500"/>
      <c r="B549" s="1501"/>
      <c r="C549" s="1502"/>
      <c r="D549" s="1544"/>
      <c r="E549" s="897">
        <v>6059</v>
      </c>
      <c r="F549" s="856">
        <f>SUM(G549:J549)</f>
        <v>0</v>
      </c>
      <c r="G549" s="856"/>
      <c r="H549" s="856"/>
      <c r="I549" s="856"/>
      <c r="J549" s="857"/>
      <c r="K549" s="849"/>
    </row>
    <row r="550" spans="1:226" s="850" customFormat="1" ht="24.95" customHeight="1">
      <c r="A550" s="1500" t="s">
        <v>979</v>
      </c>
      <c r="B550" s="1501" t="s">
        <v>1039</v>
      </c>
      <c r="C550" s="1502" t="s">
        <v>142</v>
      </c>
      <c r="D550" s="1542"/>
      <c r="E550" s="846" t="s">
        <v>976</v>
      </c>
      <c r="F550" s="847">
        <f>SUM(F551,F558)</f>
        <v>2768000</v>
      </c>
      <c r="G550" s="847">
        <f>SUM(G551,G558)</f>
        <v>0</v>
      </c>
      <c r="H550" s="847">
        <f>SUM(H551,H558)</f>
        <v>0</v>
      </c>
      <c r="I550" s="847">
        <f>SUM(I551,I558)</f>
        <v>2768000</v>
      </c>
      <c r="J550" s="848">
        <f>SUM(J551,J558)</f>
        <v>0</v>
      </c>
      <c r="K550" s="849"/>
    </row>
    <row r="551" spans="1:226" s="850" customFormat="1" ht="24.95" customHeight="1">
      <c r="A551" s="1500"/>
      <c r="B551" s="1501"/>
      <c r="C551" s="1502"/>
      <c r="D551" s="1543"/>
      <c r="E551" s="851" t="s">
        <v>383</v>
      </c>
      <c r="F551" s="852">
        <f>SUM(F552,F555)</f>
        <v>0</v>
      </c>
      <c r="G551" s="852">
        <f>SUM(G552,G555)</f>
        <v>0</v>
      </c>
      <c r="H551" s="852">
        <f>SUM(H552,H555)</f>
        <v>0</v>
      </c>
      <c r="I551" s="852">
        <f>SUM(I552,I555)</f>
        <v>0</v>
      </c>
      <c r="J551" s="853">
        <f>SUM(J552,J555)</f>
        <v>0</v>
      </c>
      <c r="K551" s="849"/>
    </row>
    <row r="552" spans="1:226" s="850" customFormat="1" ht="24.95" hidden="1" customHeight="1">
      <c r="A552" s="1500"/>
      <c r="B552" s="1501"/>
      <c r="C552" s="1502"/>
      <c r="D552" s="1543"/>
      <c r="E552" s="860" t="s">
        <v>981</v>
      </c>
      <c r="F552" s="861">
        <f>SUM(F553:F554)</f>
        <v>0</v>
      </c>
      <c r="G552" s="861">
        <f>SUM(G553:G554)</f>
        <v>0</v>
      </c>
      <c r="H552" s="861">
        <f>SUM(H553:H554)</f>
        <v>0</v>
      </c>
      <c r="I552" s="861">
        <f>SUM(I553:I554)</f>
        <v>0</v>
      </c>
      <c r="J552" s="862">
        <f>SUM(J553:J554)</f>
        <v>0</v>
      </c>
      <c r="K552" s="849"/>
    </row>
    <row r="553" spans="1:226" s="850" customFormat="1" ht="15" hidden="1" customHeight="1">
      <c r="A553" s="1500"/>
      <c r="B553" s="1501"/>
      <c r="C553" s="1502"/>
      <c r="D553" s="1543"/>
      <c r="E553" s="855"/>
      <c r="F553" s="856">
        <f>SUM(G553:J553)</f>
        <v>0</v>
      </c>
      <c r="G553" s="856"/>
      <c r="H553" s="856"/>
      <c r="I553" s="856"/>
      <c r="J553" s="857"/>
      <c r="K553" s="849"/>
    </row>
    <row r="554" spans="1:226" s="850" customFormat="1" ht="15" hidden="1" customHeight="1">
      <c r="A554" s="1500"/>
      <c r="B554" s="1501"/>
      <c r="C554" s="1502"/>
      <c r="D554" s="1543"/>
      <c r="E554" s="855"/>
      <c r="F554" s="856">
        <f>SUM(G554:J554)</f>
        <v>0</v>
      </c>
      <c r="G554" s="856"/>
      <c r="H554" s="856"/>
      <c r="I554" s="856"/>
      <c r="J554" s="857"/>
      <c r="K554" s="849"/>
    </row>
    <row r="555" spans="1:226" s="850" customFormat="1" ht="24.95" hidden="1" customHeight="1">
      <c r="A555" s="1500"/>
      <c r="B555" s="1501"/>
      <c r="C555" s="1502"/>
      <c r="D555" s="1543"/>
      <c r="E555" s="860" t="s">
        <v>982</v>
      </c>
      <c r="F555" s="861">
        <f>SUM(F556:F557)</f>
        <v>0</v>
      </c>
      <c r="G555" s="861">
        <f>SUM(G556:G557)</f>
        <v>0</v>
      </c>
      <c r="H555" s="861">
        <f>SUM(H556:H557)</f>
        <v>0</v>
      </c>
      <c r="I555" s="861">
        <f>SUM(I556:I557)</f>
        <v>0</v>
      </c>
      <c r="J555" s="862">
        <f>SUM(J556:J557)</f>
        <v>0</v>
      </c>
      <c r="K555" s="849"/>
    </row>
    <row r="556" spans="1:226" s="850" customFormat="1" ht="15" hidden="1" customHeight="1">
      <c r="A556" s="1500"/>
      <c r="B556" s="1501"/>
      <c r="C556" s="1502"/>
      <c r="D556" s="1543"/>
      <c r="E556" s="855"/>
      <c r="F556" s="856">
        <f>SUM(G556:J556)</f>
        <v>0</v>
      </c>
      <c r="G556" s="856"/>
      <c r="H556" s="856"/>
      <c r="I556" s="856"/>
      <c r="J556" s="857"/>
      <c r="K556" s="849"/>
    </row>
    <row r="557" spans="1:226" s="850" customFormat="1" ht="15" hidden="1" customHeight="1">
      <c r="A557" s="1500"/>
      <c r="B557" s="1501"/>
      <c r="C557" s="1502"/>
      <c r="D557" s="1543"/>
      <c r="E557" s="855"/>
      <c r="F557" s="856">
        <f>SUM(G557:J557)</f>
        <v>0</v>
      </c>
      <c r="G557" s="856"/>
      <c r="H557" s="856"/>
      <c r="I557" s="856"/>
      <c r="J557" s="857"/>
      <c r="K557" s="849"/>
    </row>
    <row r="558" spans="1:226" s="850" customFormat="1" ht="24.95" customHeight="1">
      <c r="A558" s="1500"/>
      <c r="B558" s="1501"/>
      <c r="C558" s="1502"/>
      <c r="D558" s="1544"/>
      <c r="E558" s="858" t="s">
        <v>977</v>
      </c>
      <c r="F558" s="852">
        <f>SUM(F559:F560)</f>
        <v>2768000</v>
      </c>
      <c r="G558" s="852">
        <f>SUM(G559:G560)</f>
        <v>0</v>
      </c>
      <c r="H558" s="852">
        <f>SUM(H559:H560)</f>
        <v>0</v>
      </c>
      <c r="I558" s="852">
        <f>SUM(I559:I560)</f>
        <v>2768000</v>
      </c>
      <c r="J558" s="853">
        <f>SUM(J559:J560)</f>
        <v>0</v>
      </c>
      <c r="K558" s="849"/>
    </row>
    <row r="559" spans="1:226" s="850" customFormat="1" ht="15" customHeight="1">
      <c r="A559" s="1500"/>
      <c r="B559" s="1501"/>
      <c r="C559" s="1502"/>
      <c r="D559" s="855" t="s">
        <v>197</v>
      </c>
      <c r="E559" s="855" t="s">
        <v>204</v>
      </c>
      <c r="F559" s="856">
        <f>SUM(G559:J559)</f>
        <v>193000</v>
      </c>
      <c r="G559" s="856"/>
      <c r="H559" s="856"/>
      <c r="I559" s="856">
        <v>193000</v>
      </c>
      <c r="J559" s="857"/>
      <c r="K559" s="849"/>
    </row>
    <row r="560" spans="1:226" s="850" customFormat="1" ht="15" customHeight="1">
      <c r="A560" s="1500"/>
      <c r="B560" s="1501"/>
      <c r="C560" s="1502"/>
      <c r="D560" s="855" t="s">
        <v>251</v>
      </c>
      <c r="E560" s="855" t="s">
        <v>253</v>
      </c>
      <c r="F560" s="856">
        <f>SUM(G560:J560)</f>
        <v>2575000</v>
      </c>
      <c r="G560" s="856"/>
      <c r="H560" s="856"/>
      <c r="I560" s="856">
        <v>2575000</v>
      </c>
      <c r="J560" s="857"/>
      <c r="K560" s="849"/>
      <c r="L560" s="849"/>
      <c r="M560" s="849"/>
      <c r="N560" s="849"/>
      <c r="O560" s="849"/>
      <c r="P560" s="849"/>
      <c r="Q560" s="849"/>
      <c r="R560" s="849"/>
      <c r="S560" s="849"/>
      <c r="T560" s="849"/>
      <c r="U560" s="849"/>
      <c r="V560" s="849"/>
      <c r="W560" s="849"/>
      <c r="X560" s="849"/>
      <c r="Y560" s="849"/>
      <c r="Z560" s="849"/>
      <c r="AA560" s="849"/>
      <c r="AB560" s="849"/>
      <c r="AC560" s="849"/>
      <c r="AD560" s="849"/>
      <c r="AE560" s="849"/>
      <c r="AF560" s="849"/>
      <c r="AG560" s="849"/>
      <c r="AH560" s="849"/>
      <c r="AI560" s="849"/>
      <c r="AJ560" s="849"/>
      <c r="AK560" s="849"/>
      <c r="AL560" s="849"/>
      <c r="AM560" s="849"/>
      <c r="AN560" s="849"/>
      <c r="AO560" s="849"/>
      <c r="AP560" s="849"/>
      <c r="AQ560" s="849"/>
      <c r="AR560" s="849"/>
      <c r="AS560" s="849"/>
      <c r="AT560" s="849"/>
      <c r="AU560" s="849"/>
      <c r="AV560" s="849"/>
      <c r="AW560" s="849"/>
      <c r="AX560" s="849"/>
      <c r="AY560" s="849"/>
      <c r="AZ560" s="849"/>
      <c r="BA560" s="849"/>
      <c r="BB560" s="849"/>
      <c r="BC560" s="849"/>
      <c r="BD560" s="849"/>
      <c r="BE560" s="849"/>
      <c r="BF560" s="849"/>
      <c r="BG560" s="849"/>
      <c r="BH560" s="849"/>
      <c r="BI560" s="849"/>
      <c r="BJ560" s="849"/>
      <c r="BK560" s="849"/>
      <c r="BL560" s="849"/>
      <c r="BM560" s="849"/>
      <c r="BN560" s="849"/>
      <c r="BO560" s="849"/>
      <c r="BP560" s="849"/>
      <c r="BQ560" s="849"/>
      <c r="BR560" s="849"/>
      <c r="BS560" s="849"/>
      <c r="BT560" s="849"/>
      <c r="BU560" s="849"/>
      <c r="BV560" s="849"/>
      <c r="BW560" s="849"/>
      <c r="BX560" s="849"/>
      <c r="BY560" s="849"/>
      <c r="BZ560" s="849"/>
      <c r="CA560" s="849"/>
      <c r="CB560" s="849"/>
      <c r="CC560" s="849"/>
      <c r="CD560" s="849"/>
      <c r="CE560" s="849"/>
      <c r="CF560" s="849"/>
      <c r="CG560" s="849"/>
      <c r="CH560" s="849"/>
      <c r="CI560" s="849"/>
      <c r="CJ560" s="849"/>
      <c r="CK560" s="849"/>
      <c r="CL560" s="849"/>
      <c r="CM560" s="849"/>
      <c r="CN560" s="849"/>
      <c r="CO560" s="849"/>
      <c r="CP560" s="849"/>
      <c r="CQ560" s="849"/>
      <c r="CR560" s="849"/>
      <c r="CS560" s="849"/>
      <c r="CT560" s="849"/>
      <c r="CU560" s="849"/>
      <c r="CV560" s="849"/>
      <c r="CW560" s="849"/>
      <c r="CX560" s="849"/>
      <c r="CY560" s="849"/>
      <c r="CZ560" s="849"/>
      <c r="DA560" s="849"/>
      <c r="DB560" s="849"/>
      <c r="DC560" s="849"/>
      <c r="DD560" s="849"/>
      <c r="DE560" s="849"/>
      <c r="DF560" s="849"/>
      <c r="DG560" s="849"/>
      <c r="DH560" s="849"/>
      <c r="DI560" s="849"/>
      <c r="DJ560" s="849"/>
      <c r="DK560" s="849"/>
      <c r="DL560" s="849"/>
      <c r="DM560" s="849"/>
      <c r="DN560" s="849"/>
      <c r="DO560" s="849"/>
      <c r="DP560" s="849"/>
      <c r="DQ560" s="849"/>
      <c r="DR560" s="849"/>
      <c r="DS560" s="849"/>
      <c r="DT560" s="849"/>
      <c r="DU560" s="849"/>
      <c r="DV560" s="849"/>
      <c r="DW560" s="849"/>
      <c r="DX560" s="849"/>
      <c r="DY560" s="849"/>
      <c r="DZ560" s="849"/>
      <c r="EA560" s="849"/>
      <c r="EB560" s="849"/>
      <c r="EC560" s="849"/>
      <c r="ED560" s="849"/>
      <c r="EE560" s="849"/>
      <c r="EF560" s="849"/>
      <c r="EG560" s="849"/>
      <c r="EH560" s="849"/>
      <c r="EI560" s="849"/>
      <c r="EJ560" s="849"/>
      <c r="EK560" s="849"/>
      <c r="EL560" s="849"/>
      <c r="EM560" s="849"/>
      <c r="EN560" s="849"/>
      <c r="EO560" s="849"/>
      <c r="EP560" s="849"/>
      <c r="EQ560" s="849"/>
      <c r="ER560" s="849"/>
      <c r="ES560" s="849"/>
      <c r="ET560" s="849"/>
      <c r="EU560" s="849"/>
      <c r="EV560" s="849"/>
      <c r="EW560" s="849"/>
      <c r="EX560" s="849"/>
      <c r="EY560" s="849"/>
      <c r="EZ560" s="849"/>
      <c r="FA560" s="849"/>
      <c r="FB560" s="849"/>
      <c r="FC560" s="849"/>
      <c r="FD560" s="849"/>
      <c r="FE560" s="849"/>
      <c r="FF560" s="849"/>
      <c r="FG560" s="849"/>
      <c r="FH560" s="849"/>
      <c r="FI560" s="849"/>
      <c r="FJ560" s="849"/>
      <c r="FK560" s="849"/>
      <c r="FL560" s="849"/>
      <c r="FM560" s="849"/>
      <c r="FN560" s="849"/>
      <c r="FO560" s="849"/>
      <c r="FP560" s="849"/>
      <c r="FQ560" s="849"/>
      <c r="FR560" s="849"/>
      <c r="FS560" s="849"/>
      <c r="FT560" s="849"/>
      <c r="FU560" s="849"/>
      <c r="FV560" s="849"/>
      <c r="FW560" s="849"/>
      <c r="FX560" s="849"/>
      <c r="FY560" s="849"/>
      <c r="FZ560" s="849"/>
      <c r="GA560" s="849"/>
      <c r="GB560" s="849"/>
      <c r="GC560" s="849"/>
      <c r="GD560" s="849"/>
      <c r="GE560" s="849"/>
      <c r="GF560" s="849"/>
      <c r="GG560" s="849"/>
      <c r="GH560" s="849"/>
      <c r="GI560" s="849"/>
      <c r="GJ560" s="849"/>
      <c r="GK560" s="849"/>
      <c r="GL560" s="849"/>
      <c r="GM560" s="849"/>
      <c r="GN560" s="849"/>
      <c r="GO560" s="849"/>
      <c r="GP560" s="849"/>
      <c r="GQ560" s="849"/>
      <c r="GR560" s="849"/>
      <c r="GS560" s="849"/>
      <c r="GT560" s="849"/>
      <c r="GU560" s="849"/>
      <c r="GV560" s="849"/>
      <c r="GW560" s="849"/>
      <c r="GX560" s="849"/>
      <c r="GY560" s="849"/>
      <c r="GZ560" s="849"/>
      <c r="HA560" s="849"/>
      <c r="HB560" s="849"/>
      <c r="HC560" s="849"/>
      <c r="HD560" s="849"/>
      <c r="HE560" s="849"/>
      <c r="HF560" s="849"/>
      <c r="HG560" s="849"/>
      <c r="HH560" s="849"/>
      <c r="HI560" s="849"/>
      <c r="HJ560" s="849"/>
      <c r="HK560" s="849"/>
      <c r="HL560" s="849"/>
      <c r="HM560" s="849"/>
      <c r="HN560" s="849"/>
      <c r="HO560" s="849"/>
      <c r="HP560" s="849"/>
      <c r="HQ560" s="849"/>
      <c r="HR560" s="849"/>
    </row>
    <row r="561" spans="1:11" s="850" customFormat="1" ht="20.100000000000001" customHeight="1" thickBot="1">
      <c r="A561" s="913" t="s">
        <v>1040</v>
      </c>
      <c r="B561" s="1548" t="s">
        <v>984</v>
      </c>
      <c r="C561" s="1548"/>
      <c r="D561" s="1548"/>
      <c r="E561" s="1548"/>
      <c r="F561" s="914">
        <f>F563+F576+F591+F611+F655</f>
        <v>46930864</v>
      </c>
      <c r="G561" s="914">
        <f>G563+G576+G591+G611+G655</f>
        <v>2971063</v>
      </c>
      <c r="H561" s="914">
        <f>H563+H576+H591+H611+H655</f>
        <v>0</v>
      </c>
      <c r="I561" s="914">
        <f>I563+I576+I591+I611+I655</f>
        <v>43959801</v>
      </c>
      <c r="J561" s="915">
        <f>J563+J576+J591+J611+J655</f>
        <v>0</v>
      </c>
      <c r="K561" s="849"/>
    </row>
    <row r="562" spans="1:11" s="850" customFormat="1" ht="15.75" customHeight="1">
      <c r="A562" s="1513"/>
      <c r="B562" s="1514"/>
      <c r="C562" s="1514"/>
      <c r="D562" s="1514"/>
      <c r="E562" s="1514"/>
      <c r="F562" s="1514"/>
      <c r="G562" s="1514"/>
      <c r="H562" s="1514"/>
      <c r="I562" s="1514"/>
      <c r="J562" s="1515"/>
      <c r="K562" s="849"/>
    </row>
    <row r="563" spans="1:11" s="850" customFormat="1" ht="22.5">
      <c r="A563" s="1500" t="s">
        <v>974</v>
      </c>
      <c r="B563" s="1501" t="s">
        <v>1041</v>
      </c>
      <c r="C563" s="1546"/>
      <c r="D563" s="1547"/>
      <c r="E563" s="846" t="s">
        <v>976</v>
      </c>
      <c r="F563" s="847">
        <f>SUM(F564,F572)</f>
        <v>505000</v>
      </c>
      <c r="G563" s="847">
        <f>SUM(G564,G572)</f>
        <v>0</v>
      </c>
      <c r="H563" s="847">
        <f>SUM(H564,H572)</f>
        <v>0</v>
      </c>
      <c r="I563" s="847">
        <f>SUM(I564,I572)</f>
        <v>505000</v>
      </c>
      <c r="J563" s="848">
        <f>SUM(J564,J572)</f>
        <v>0</v>
      </c>
      <c r="K563" s="849"/>
    </row>
    <row r="564" spans="1:11" s="850" customFormat="1" ht="24.95" customHeight="1">
      <c r="A564" s="1500"/>
      <c r="B564" s="1501"/>
      <c r="C564" s="1546"/>
      <c r="D564" s="1547"/>
      <c r="E564" s="851" t="s">
        <v>383</v>
      </c>
      <c r="F564" s="852">
        <f>SUM(F565:F571)</f>
        <v>505000</v>
      </c>
      <c r="G564" s="852">
        <f>SUM(G565:G571)</f>
        <v>0</v>
      </c>
      <c r="H564" s="852">
        <f>SUM(H565:H571)</f>
        <v>0</v>
      </c>
      <c r="I564" s="852">
        <f>SUM(I565:I571)</f>
        <v>505000</v>
      </c>
      <c r="J564" s="853">
        <f>SUM(J565:J571)</f>
        <v>0</v>
      </c>
      <c r="K564" s="849"/>
    </row>
    <row r="565" spans="1:11" s="850" customFormat="1" ht="15" hidden="1" customHeight="1">
      <c r="A565" s="1500"/>
      <c r="B565" s="1501"/>
      <c r="C565" s="1516"/>
      <c r="D565" s="859"/>
      <c r="E565" s="859"/>
      <c r="F565" s="856">
        <f t="shared" ref="F565:F571" si="29">SUM(G565:J565)</f>
        <v>0</v>
      </c>
      <c r="G565" s="856"/>
      <c r="H565" s="856"/>
      <c r="I565" s="856"/>
      <c r="J565" s="857"/>
      <c r="K565" s="849"/>
    </row>
    <row r="566" spans="1:11" s="850" customFormat="1" ht="15" hidden="1" customHeight="1">
      <c r="A566" s="1500"/>
      <c r="B566" s="1501"/>
      <c r="C566" s="1541"/>
      <c r="D566" s="859"/>
      <c r="E566" s="859"/>
      <c r="F566" s="856">
        <f t="shared" si="29"/>
        <v>0</v>
      </c>
      <c r="G566" s="856"/>
      <c r="H566" s="856"/>
      <c r="I566" s="856"/>
      <c r="J566" s="857"/>
      <c r="K566" s="849"/>
    </row>
    <row r="567" spans="1:11" s="850" customFormat="1" ht="15" hidden="1" customHeight="1">
      <c r="A567" s="1500"/>
      <c r="B567" s="1501"/>
      <c r="C567" s="1516"/>
      <c r="D567" s="855"/>
      <c r="E567" s="859"/>
      <c r="F567" s="856">
        <f t="shared" si="29"/>
        <v>0</v>
      </c>
      <c r="G567" s="856"/>
      <c r="H567" s="856"/>
      <c r="I567" s="856"/>
      <c r="J567" s="857"/>
      <c r="K567" s="849"/>
    </row>
    <row r="568" spans="1:11" s="850" customFormat="1" ht="15" hidden="1" customHeight="1">
      <c r="A568" s="1500"/>
      <c r="B568" s="1501"/>
      <c r="C568" s="1541"/>
      <c r="D568" s="859"/>
      <c r="E568" s="859"/>
      <c r="F568" s="856">
        <f t="shared" si="29"/>
        <v>0</v>
      </c>
      <c r="G568" s="856"/>
      <c r="H568" s="856"/>
      <c r="I568" s="856"/>
      <c r="J568" s="857"/>
      <c r="K568" s="849"/>
    </row>
    <row r="569" spans="1:11" s="850" customFormat="1" ht="15" customHeight="1">
      <c r="A569" s="1500"/>
      <c r="B569" s="1501"/>
      <c r="C569" s="1516">
        <v>853</v>
      </c>
      <c r="D569" s="1542" t="s">
        <v>661</v>
      </c>
      <c r="E569" s="859" t="s">
        <v>279</v>
      </c>
      <c r="F569" s="856">
        <f t="shared" si="29"/>
        <v>501000</v>
      </c>
      <c r="G569" s="856"/>
      <c r="H569" s="856"/>
      <c r="I569" s="856">
        <v>501000</v>
      </c>
      <c r="J569" s="857"/>
      <c r="K569" s="849"/>
    </row>
    <row r="570" spans="1:11" s="850" customFormat="1" ht="15" customHeight="1">
      <c r="A570" s="1500"/>
      <c r="B570" s="1501"/>
      <c r="C570" s="1517"/>
      <c r="D570" s="1544"/>
      <c r="E570" s="859" t="s">
        <v>282</v>
      </c>
      <c r="F570" s="856">
        <f t="shared" si="29"/>
        <v>4000</v>
      </c>
      <c r="G570" s="856"/>
      <c r="H570" s="856"/>
      <c r="I570" s="856">
        <v>4000</v>
      </c>
      <c r="J570" s="857"/>
      <c r="K570" s="849"/>
    </row>
    <row r="571" spans="1:11" s="850" customFormat="1" ht="15" hidden="1" customHeight="1">
      <c r="A571" s="1500"/>
      <c r="B571" s="1501"/>
      <c r="C571" s="916">
        <v>854</v>
      </c>
      <c r="D571" s="855" t="s">
        <v>676</v>
      </c>
      <c r="E571" s="859" t="s">
        <v>279</v>
      </c>
      <c r="F571" s="856">
        <f t="shared" si="29"/>
        <v>0</v>
      </c>
      <c r="G571" s="856"/>
      <c r="H571" s="856"/>
      <c r="I571" s="856"/>
      <c r="J571" s="857"/>
      <c r="K571" s="849"/>
    </row>
    <row r="572" spans="1:11" s="850" customFormat="1" ht="24.95" customHeight="1">
      <c r="A572" s="1500"/>
      <c r="B572" s="1501"/>
      <c r="C572" s="1546"/>
      <c r="D572" s="1547"/>
      <c r="E572" s="858" t="s">
        <v>977</v>
      </c>
      <c r="F572" s="852">
        <f>SUM(F573:F575)</f>
        <v>0</v>
      </c>
      <c r="G572" s="852">
        <f>SUM(G573:G575)</f>
        <v>0</v>
      </c>
      <c r="H572" s="852">
        <f>SUM(H573:H575)</f>
        <v>0</v>
      </c>
      <c r="I572" s="852">
        <f>SUM(I573:I575)</f>
        <v>0</v>
      </c>
      <c r="J572" s="853">
        <f>SUM(J573:J575)</f>
        <v>0</v>
      </c>
      <c r="K572" s="849"/>
    </row>
    <row r="573" spans="1:11" s="850" customFormat="1" ht="15" hidden="1" customHeight="1">
      <c r="A573" s="1500"/>
      <c r="B573" s="1501"/>
      <c r="C573" s="917"/>
      <c r="D573" s="855"/>
      <c r="E573" s="859"/>
      <c r="F573" s="856">
        <f t="shared" ref="F573:F575" si="30">SUM(G573:J573)</f>
        <v>0</v>
      </c>
      <c r="G573" s="856"/>
      <c r="H573" s="856"/>
      <c r="I573" s="856"/>
      <c r="J573" s="857"/>
      <c r="K573" s="849"/>
    </row>
    <row r="574" spans="1:11" s="850" customFormat="1" ht="15" hidden="1" customHeight="1">
      <c r="A574" s="1500"/>
      <c r="B574" s="1501"/>
      <c r="C574" s="854"/>
      <c r="D574" s="855"/>
      <c r="E574" s="859"/>
      <c r="F574" s="856">
        <f t="shared" si="30"/>
        <v>0</v>
      </c>
      <c r="G574" s="856"/>
      <c r="H574" s="856"/>
      <c r="I574" s="856"/>
      <c r="J574" s="857"/>
      <c r="K574" s="849"/>
    </row>
    <row r="575" spans="1:11" s="850" customFormat="1" ht="15" hidden="1" customHeight="1">
      <c r="A575" s="1500"/>
      <c r="B575" s="1501"/>
      <c r="C575" s="854"/>
      <c r="D575" s="855"/>
      <c r="E575" s="859"/>
      <c r="F575" s="856">
        <f t="shared" si="30"/>
        <v>0</v>
      </c>
      <c r="G575" s="856"/>
      <c r="H575" s="856"/>
      <c r="I575" s="856"/>
      <c r="J575" s="857"/>
      <c r="K575" s="849"/>
    </row>
    <row r="576" spans="1:11" s="850" customFormat="1" ht="22.5" customHeight="1">
      <c r="A576" s="1503" t="s">
        <v>979</v>
      </c>
      <c r="B576" s="1506" t="s">
        <v>1042</v>
      </c>
      <c r="C576" s="1546"/>
      <c r="D576" s="1547"/>
      <c r="E576" s="846" t="s">
        <v>976</v>
      </c>
      <c r="F576" s="847">
        <f>SUM(F577,F588)</f>
        <v>26842304</v>
      </c>
      <c r="G576" s="847">
        <f>SUM(G577,G588)</f>
        <v>0</v>
      </c>
      <c r="H576" s="847">
        <f>SUM(H577,H588)</f>
        <v>0</v>
      </c>
      <c r="I576" s="847">
        <f>SUM(I577,I588)</f>
        <v>26842304</v>
      </c>
      <c r="J576" s="848">
        <f>SUM(J577,J588)</f>
        <v>0</v>
      </c>
      <c r="K576" s="849"/>
    </row>
    <row r="577" spans="1:226" s="850" customFormat="1" ht="24.95" customHeight="1">
      <c r="A577" s="1504"/>
      <c r="B577" s="1507"/>
      <c r="C577" s="1546"/>
      <c r="D577" s="1547"/>
      <c r="E577" s="851" t="s">
        <v>383</v>
      </c>
      <c r="F577" s="852">
        <f>SUM(F578:F587)</f>
        <v>26818304</v>
      </c>
      <c r="G577" s="852">
        <f>SUM(G578:G587)</f>
        <v>0</v>
      </c>
      <c r="H577" s="852">
        <f>SUM(H578:H587)</f>
        <v>0</v>
      </c>
      <c r="I577" s="852">
        <f>SUM(I578:I587)</f>
        <v>26818304</v>
      </c>
      <c r="J577" s="853">
        <f>SUM(J578:J587)</f>
        <v>0</v>
      </c>
      <c r="K577" s="849"/>
    </row>
    <row r="578" spans="1:226" s="850" customFormat="1" ht="15" customHeight="1">
      <c r="A578" s="1504"/>
      <c r="B578" s="1507"/>
      <c r="C578" s="1516">
        <v>150</v>
      </c>
      <c r="D578" s="1542" t="s">
        <v>277</v>
      </c>
      <c r="E578" s="859" t="s">
        <v>279</v>
      </c>
      <c r="F578" s="856">
        <f t="shared" ref="F578:F587" si="31">SUM(G578:J578)</f>
        <v>3748340</v>
      </c>
      <c r="G578" s="856"/>
      <c r="H578" s="856"/>
      <c r="I578" s="856">
        <v>3748340</v>
      </c>
      <c r="J578" s="857"/>
      <c r="K578" s="849"/>
    </row>
    <row r="579" spans="1:226" s="850" customFormat="1" ht="15" customHeight="1">
      <c r="A579" s="1504"/>
      <c r="B579" s="1507"/>
      <c r="C579" s="1541"/>
      <c r="D579" s="1544"/>
      <c r="E579" s="859" t="s">
        <v>282</v>
      </c>
      <c r="F579" s="856">
        <f t="shared" si="31"/>
        <v>661471</v>
      </c>
      <c r="G579" s="856"/>
      <c r="H579" s="856"/>
      <c r="I579" s="856">
        <v>661471</v>
      </c>
      <c r="J579" s="857"/>
      <c r="K579" s="849"/>
    </row>
    <row r="580" spans="1:226" s="850" customFormat="1" ht="15" customHeight="1">
      <c r="A580" s="1504"/>
      <c r="B580" s="1507"/>
      <c r="C580" s="1495">
        <v>801</v>
      </c>
      <c r="D580" s="1542" t="s">
        <v>535</v>
      </c>
      <c r="E580" s="859" t="s">
        <v>279</v>
      </c>
      <c r="F580" s="856">
        <f t="shared" si="31"/>
        <v>908600</v>
      </c>
      <c r="G580" s="856"/>
      <c r="H580" s="856"/>
      <c r="I580" s="856">
        <v>908600</v>
      </c>
      <c r="J580" s="857"/>
      <c r="K580" s="849"/>
    </row>
    <row r="581" spans="1:226" s="850" customFormat="1" ht="15" customHeight="1">
      <c r="A581" s="1504"/>
      <c r="B581" s="1507"/>
      <c r="C581" s="1495"/>
      <c r="D581" s="1543"/>
      <c r="E581" s="859" t="s">
        <v>282</v>
      </c>
      <c r="F581" s="856">
        <f t="shared" si="31"/>
        <v>2663400</v>
      </c>
      <c r="G581" s="856"/>
      <c r="H581" s="856"/>
      <c r="I581" s="856">
        <v>2663400</v>
      </c>
      <c r="J581" s="857"/>
      <c r="K581" s="849"/>
    </row>
    <row r="582" spans="1:226" s="850" customFormat="1" ht="15" customHeight="1">
      <c r="A582" s="1504"/>
      <c r="B582" s="1507"/>
      <c r="C582" s="1516">
        <v>851</v>
      </c>
      <c r="D582" s="1542" t="s">
        <v>583</v>
      </c>
      <c r="E582" s="859" t="s">
        <v>279</v>
      </c>
      <c r="F582" s="856">
        <f t="shared" si="31"/>
        <v>227648</v>
      </c>
      <c r="G582" s="856"/>
      <c r="H582" s="856"/>
      <c r="I582" s="856">
        <v>227648</v>
      </c>
      <c r="J582" s="857"/>
      <c r="K582" s="849"/>
    </row>
    <row r="583" spans="1:226" s="850" customFormat="1" ht="15" customHeight="1">
      <c r="A583" s="1504"/>
      <c r="B583" s="1507"/>
      <c r="C583" s="1541"/>
      <c r="D583" s="1544"/>
      <c r="E583" s="859" t="s">
        <v>282</v>
      </c>
      <c r="F583" s="856">
        <f t="shared" si="31"/>
        <v>227648</v>
      </c>
      <c r="G583" s="856"/>
      <c r="H583" s="856"/>
      <c r="I583" s="856">
        <v>227648</v>
      </c>
      <c r="J583" s="857"/>
      <c r="K583" s="849"/>
    </row>
    <row r="584" spans="1:226" s="850" customFormat="1" ht="15" customHeight="1">
      <c r="A584" s="1504"/>
      <c r="B584" s="1507"/>
      <c r="C584" s="1495">
        <v>852</v>
      </c>
      <c r="D584" s="1542" t="s">
        <v>603</v>
      </c>
      <c r="E584" s="859" t="s">
        <v>279</v>
      </c>
      <c r="F584" s="856">
        <f t="shared" si="31"/>
        <v>9155893</v>
      </c>
      <c r="G584" s="856"/>
      <c r="H584" s="856"/>
      <c r="I584" s="856">
        <v>9155893</v>
      </c>
      <c r="J584" s="857"/>
      <c r="K584" s="849"/>
    </row>
    <row r="585" spans="1:226" s="850" customFormat="1" ht="15" customHeight="1">
      <c r="A585" s="1504"/>
      <c r="B585" s="1507"/>
      <c r="C585" s="1495"/>
      <c r="D585" s="1544"/>
      <c r="E585" s="859" t="s">
        <v>282</v>
      </c>
      <c r="F585" s="856">
        <f t="shared" si="31"/>
        <v>1914875</v>
      </c>
      <c r="G585" s="856"/>
      <c r="H585" s="856"/>
      <c r="I585" s="856">
        <v>1914875</v>
      </c>
      <c r="J585" s="857"/>
      <c r="K585" s="849"/>
    </row>
    <row r="586" spans="1:226" s="850" customFormat="1" ht="15" customHeight="1">
      <c r="A586" s="1504"/>
      <c r="B586" s="1507"/>
      <c r="C586" s="1516">
        <v>853</v>
      </c>
      <c r="D586" s="1542" t="s">
        <v>661</v>
      </c>
      <c r="E586" s="859" t="s">
        <v>279</v>
      </c>
      <c r="F586" s="856">
        <f t="shared" si="31"/>
        <v>5288442</v>
      </c>
      <c r="G586" s="856"/>
      <c r="H586" s="856"/>
      <c r="I586" s="856">
        <v>5288442</v>
      </c>
      <c r="J586" s="857"/>
      <c r="K586" s="849"/>
    </row>
    <row r="587" spans="1:226" s="850" customFormat="1" ht="15" customHeight="1">
      <c r="A587" s="1504"/>
      <c r="B587" s="1507"/>
      <c r="C587" s="1517"/>
      <c r="D587" s="1544"/>
      <c r="E587" s="859" t="s">
        <v>282</v>
      </c>
      <c r="F587" s="856">
        <f t="shared" si="31"/>
        <v>2021987</v>
      </c>
      <c r="G587" s="856"/>
      <c r="H587" s="856"/>
      <c r="I587" s="856">
        <v>2021987</v>
      </c>
      <c r="J587" s="857"/>
      <c r="K587" s="849"/>
    </row>
    <row r="588" spans="1:226" s="850" customFormat="1" ht="24.95" customHeight="1">
      <c r="A588" s="1504"/>
      <c r="B588" s="1507"/>
      <c r="C588" s="1546"/>
      <c r="D588" s="1547"/>
      <c r="E588" s="858" t="s">
        <v>977</v>
      </c>
      <c r="F588" s="852">
        <f>SUM(F589:F590)</f>
        <v>24000</v>
      </c>
      <c r="G588" s="852">
        <f>SUM(G589:G590)</f>
        <v>0</v>
      </c>
      <c r="H588" s="852">
        <f>SUM(H589:H590)</f>
        <v>0</v>
      </c>
      <c r="I588" s="852">
        <f>SUM(I589:I590)</f>
        <v>24000</v>
      </c>
      <c r="J588" s="853">
        <f>SUM(J589:J590)</f>
        <v>0</v>
      </c>
      <c r="K588" s="849"/>
    </row>
    <row r="589" spans="1:226" s="850" customFormat="1" ht="15" customHeight="1">
      <c r="A589" s="1505"/>
      <c r="B589" s="1508"/>
      <c r="C589" s="854">
        <v>801</v>
      </c>
      <c r="D589" s="855" t="s">
        <v>535</v>
      </c>
      <c r="E589" s="855" t="s">
        <v>285</v>
      </c>
      <c r="F589" s="856">
        <f t="shared" ref="F589:F590" si="32">SUM(G589:J589)</f>
        <v>24000</v>
      </c>
      <c r="G589" s="856"/>
      <c r="H589" s="856"/>
      <c r="I589" s="856">
        <v>24000</v>
      </c>
      <c r="J589" s="857"/>
      <c r="K589" s="849"/>
    </row>
    <row r="590" spans="1:226" s="850" customFormat="1" ht="15" hidden="1" customHeight="1">
      <c r="A590" s="898"/>
      <c r="B590" s="899"/>
      <c r="C590" s="918"/>
      <c r="D590" s="919"/>
      <c r="E590" s="920"/>
      <c r="F590" s="869">
        <f t="shared" si="32"/>
        <v>0</v>
      </c>
      <c r="G590" s="921"/>
      <c r="H590" s="921"/>
      <c r="I590" s="921"/>
      <c r="J590" s="922"/>
      <c r="K590" s="849"/>
    </row>
    <row r="591" spans="1:226" s="850" customFormat="1" ht="24.95" hidden="1" customHeight="1">
      <c r="A591" s="1500"/>
      <c r="B591" s="1501"/>
      <c r="C591" s="1495"/>
      <c r="D591" s="1502"/>
      <c r="E591" s="846" t="s">
        <v>976</v>
      </c>
      <c r="F591" s="847">
        <f>SUM(F592,F607)</f>
        <v>0</v>
      </c>
      <c r="G591" s="847">
        <f>SUM(G592,G607)</f>
        <v>0</v>
      </c>
      <c r="H591" s="847">
        <f>SUM(H592,H607)</f>
        <v>0</v>
      </c>
      <c r="I591" s="847">
        <f>SUM(I592,I607)</f>
        <v>0</v>
      </c>
      <c r="J591" s="848">
        <f>SUM(J592,J607)</f>
        <v>0</v>
      </c>
      <c r="K591" s="849"/>
      <c r="L591" s="849"/>
      <c r="M591" s="849"/>
      <c r="N591" s="849"/>
      <c r="O591" s="849"/>
      <c r="P591" s="849"/>
      <c r="Q591" s="849"/>
      <c r="R591" s="849"/>
      <c r="S591" s="849"/>
      <c r="T591" s="849"/>
      <c r="U591" s="849"/>
      <c r="V591" s="849"/>
      <c r="W591" s="849"/>
      <c r="X591" s="849"/>
      <c r="Y591" s="849"/>
      <c r="Z591" s="849"/>
      <c r="AA591" s="849"/>
      <c r="AB591" s="849"/>
      <c r="AC591" s="849"/>
      <c r="AD591" s="849"/>
      <c r="AE591" s="849"/>
      <c r="AF591" s="849"/>
      <c r="AG591" s="849"/>
      <c r="AH591" s="849"/>
      <c r="AI591" s="849"/>
      <c r="AJ591" s="849"/>
      <c r="AK591" s="849"/>
      <c r="AL591" s="849"/>
      <c r="AM591" s="849"/>
      <c r="AN591" s="849"/>
      <c r="AO591" s="849"/>
      <c r="AP591" s="849"/>
      <c r="AQ591" s="849"/>
      <c r="AR591" s="849"/>
      <c r="AS591" s="849"/>
      <c r="AT591" s="849"/>
      <c r="AU591" s="849"/>
      <c r="AV591" s="849"/>
      <c r="AW591" s="849"/>
      <c r="AX591" s="849"/>
      <c r="AY591" s="849"/>
      <c r="AZ591" s="849"/>
      <c r="BA591" s="849"/>
      <c r="BB591" s="849"/>
      <c r="BC591" s="849"/>
      <c r="BD591" s="849"/>
      <c r="BE591" s="849"/>
      <c r="BF591" s="849"/>
      <c r="BG591" s="849"/>
      <c r="BH591" s="849"/>
      <c r="BI591" s="849"/>
      <c r="BJ591" s="849"/>
      <c r="BK591" s="849"/>
      <c r="BL591" s="849"/>
      <c r="BM591" s="849"/>
      <c r="BN591" s="849"/>
      <c r="BO591" s="849"/>
      <c r="BP591" s="849"/>
      <c r="BQ591" s="849"/>
      <c r="BR591" s="849"/>
      <c r="BS591" s="849"/>
      <c r="BT591" s="849"/>
      <c r="BU591" s="849"/>
      <c r="BV591" s="849"/>
      <c r="BW591" s="849"/>
      <c r="BX591" s="849"/>
      <c r="BY591" s="849"/>
      <c r="BZ591" s="849"/>
      <c r="CA591" s="849"/>
      <c r="CB591" s="849"/>
      <c r="CC591" s="849"/>
      <c r="CD591" s="849"/>
      <c r="CE591" s="849"/>
      <c r="CF591" s="849"/>
      <c r="CG591" s="849"/>
      <c r="CH591" s="849"/>
      <c r="CI591" s="849"/>
      <c r="CJ591" s="849"/>
      <c r="CK591" s="849"/>
      <c r="CL591" s="849"/>
      <c r="CM591" s="849"/>
      <c r="CN591" s="849"/>
      <c r="CO591" s="849"/>
      <c r="CP591" s="849"/>
      <c r="CQ591" s="849"/>
      <c r="CR591" s="849"/>
      <c r="CS591" s="849"/>
      <c r="CT591" s="849"/>
      <c r="CU591" s="849"/>
      <c r="CV591" s="849"/>
      <c r="CW591" s="849"/>
      <c r="CX591" s="849"/>
      <c r="CY591" s="849"/>
      <c r="CZ591" s="849"/>
      <c r="DA591" s="849"/>
      <c r="DB591" s="849"/>
      <c r="DC591" s="849"/>
      <c r="DD591" s="849"/>
      <c r="DE591" s="849"/>
      <c r="DF591" s="849"/>
      <c r="DG591" s="849"/>
      <c r="DH591" s="849"/>
      <c r="DI591" s="849"/>
      <c r="DJ591" s="849"/>
      <c r="DK591" s="849"/>
      <c r="DL591" s="849"/>
      <c r="DM591" s="849"/>
      <c r="DN591" s="849"/>
      <c r="DO591" s="849"/>
      <c r="DP591" s="849"/>
      <c r="DQ591" s="849"/>
      <c r="DR591" s="849"/>
      <c r="DS591" s="849"/>
      <c r="DT591" s="849"/>
      <c r="DU591" s="849"/>
      <c r="DV591" s="849"/>
      <c r="DW591" s="849"/>
      <c r="DX591" s="849"/>
      <c r="DY591" s="849"/>
      <c r="DZ591" s="849"/>
      <c r="EA591" s="849"/>
      <c r="EB591" s="849"/>
      <c r="EC591" s="849"/>
      <c r="ED591" s="849"/>
      <c r="EE591" s="849"/>
      <c r="EF591" s="849"/>
      <c r="EG591" s="849"/>
      <c r="EH591" s="849"/>
      <c r="EI591" s="849"/>
      <c r="EJ591" s="849"/>
      <c r="EK591" s="849"/>
      <c r="EL591" s="849"/>
      <c r="EM591" s="849"/>
      <c r="EN591" s="849"/>
      <c r="EO591" s="849"/>
      <c r="EP591" s="849"/>
      <c r="EQ591" s="849"/>
      <c r="ER591" s="849"/>
      <c r="ES591" s="849"/>
      <c r="ET591" s="849"/>
      <c r="EU591" s="849"/>
      <c r="EV591" s="849"/>
      <c r="EW591" s="849"/>
      <c r="EX591" s="849"/>
      <c r="EY591" s="849"/>
      <c r="EZ591" s="849"/>
      <c r="FA591" s="849"/>
      <c r="FB591" s="849"/>
      <c r="FC591" s="849"/>
      <c r="FD591" s="849"/>
      <c r="FE591" s="849"/>
      <c r="FF591" s="849"/>
      <c r="FG591" s="849"/>
      <c r="FH591" s="849"/>
      <c r="FI591" s="849"/>
      <c r="FJ591" s="849"/>
      <c r="FK591" s="849"/>
      <c r="FL591" s="849"/>
      <c r="FM591" s="849"/>
      <c r="FN591" s="849"/>
      <c r="FO591" s="849"/>
      <c r="FP591" s="849"/>
      <c r="FQ591" s="849"/>
      <c r="FR591" s="849"/>
      <c r="FS591" s="849"/>
      <c r="FT591" s="849"/>
      <c r="FU591" s="849"/>
      <c r="FV591" s="849"/>
      <c r="FW591" s="849"/>
      <c r="FX591" s="849"/>
      <c r="FY591" s="849"/>
      <c r="FZ591" s="849"/>
      <c r="GA591" s="849"/>
      <c r="GB591" s="849"/>
      <c r="GC591" s="849"/>
      <c r="GD591" s="849"/>
      <c r="GE591" s="849"/>
      <c r="GF591" s="849"/>
      <c r="GG591" s="849"/>
      <c r="GH591" s="849"/>
      <c r="GI591" s="849"/>
      <c r="GJ591" s="849"/>
      <c r="GK591" s="849"/>
      <c r="GL591" s="849"/>
      <c r="GM591" s="849"/>
      <c r="GN591" s="849"/>
      <c r="GO591" s="849"/>
      <c r="GP591" s="849"/>
      <c r="GQ591" s="849"/>
      <c r="GR591" s="849"/>
      <c r="GS591" s="849"/>
      <c r="GT591" s="849"/>
      <c r="GU591" s="849"/>
      <c r="GV591" s="849"/>
      <c r="GW591" s="849"/>
      <c r="GX591" s="849"/>
      <c r="GY591" s="849"/>
      <c r="GZ591" s="849"/>
      <c r="HA591" s="849"/>
      <c r="HB591" s="849"/>
      <c r="HC591" s="849"/>
      <c r="HD591" s="849"/>
      <c r="HE591" s="849"/>
      <c r="HF591" s="849"/>
      <c r="HG591" s="849"/>
      <c r="HH591" s="849"/>
      <c r="HI591" s="849"/>
      <c r="HJ591" s="849"/>
      <c r="HK591" s="849"/>
      <c r="HL591" s="849"/>
      <c r="HM591" s="849"/>
      <c r="HN591" s="849"/>
      <c r="HO591" s="849"/>
      <c r="HP591" s="849"/>
      <c r="HQ591" s="849"/>
      <c r="HR591" s="849"/>
    </row>
    <row r="592" spans="1:226" s="850" customFormat="1" ht="24.95" hidden="1" customHeight="1">
      <c r="A592" s="1500"/>
      <c r="B592" s="1501"/>
      <c r="C592" s="1495"/>
      <c r="D592" s="1502"/>
      <c r="E592" s="851" t="s">
        <v>990</v>
      </c>
      <c r="F592" s="852">
        <f>SUM(F593,F597,F602)</f>
        <v>0</v>
      </c>
      <c r="G592" s="852">
        <f>SUM(G593,G597,G602)</f>
        <v>0</v>
      </c>
      <c r="H592" s="852">
        <f>SUM(H593,H597,H602)</f>
        <v>0</v>
      </c>
      <c r="I592" s="852">
        <f>SUM(I593,I597,I602)</f>
        <v>0</v>
      </c>
      <c r="J592" s="853">
        <f>SUM(J593,J597,J602)</f>
        <v>0</v>
      </c>
      <c r="K592" s="849"/>
    </row>
    <row r="593" spans="1:11" s="850" customFormat="1" ht="24.95" hidden="1" customHeight="1">
      <c r="A593" s="1500"/>
      <c r="B593" s="1501"/>
      <c r="C593" s="1495"/>
      <c r="D593" s="1502"/>
      <c r="E593" s="860" t="s">
        <v>991</v>
      </c>
      <c r="F593" s="861">
        <f>SUM(F594:F596)</f>
        <v>0</v>
      </c>
      <c r="G593" s="861">
        <f>SUM(G594:G596)</f>
        <v>0</v>
      </c>
      <c r="H593" s="861">
        <f>SUM(H594:H596)</f>
        <v>0</v>
      </c>
      <c r="I593" s="861">
        <f>SUM(I594:I596)</f>
        <v>0</v>
      </c>
      <c r="J593" s="862">
        <f>SUM(J594:J596)</f>
        <v>0</v>
      </c>
      <c r="K593" s="849"/>
    </row>
    <row r="594" spans="1:11" s="850" customFormat="1" ht="15" hidden="1" customHeight="1">
      <c r="A594" s="1500"/>
      <c r="B594" s="1501"/>
      <c r="C594" s="1495"/>
      <c r="D594" s="1502"/>
      <c r="E594" s="855"/>
      <c r="F594" s="856">
        <f>SUM(G594:J594)</f>
        <v>0</v>
      </c>
      <c r="G594" s="856"/>
      <c r="H594" s="856"/>
      <c r="I594" s="856"/>
      <c r="J594" s="857"/>
      <c r="K594" s="849"/>
    </row>
    <row r="595" spans="1:11" s="850" customFormat="1" ht="15" hidden="1" customHeight="1">
      <c r="A595" s="1500"/>
      <c r="B595" s="1501"/>
      <c r="C595" s="1495"/>
      <c r="D595" s="1502"/>
      <c r="E595" s="855"/>
      <c r="F595" s="856">
        <f>SUM(G595:J595)</f>
        <v>0</v>
      </c>
      <c r="G595" s="856"/>
      <c r="H595" s="856"/>
      <c r="I595" s="856"/>
      <c r="J595" s="857"/>
      <c r="K595" s="849"/>
    </row>
    <row r="596" spans="1:11" s="850" customFormat="1" ht="15" hidden="1" customHeight="1">
      <c r="A596" s="1500"/>
      <c r="B596" s="1501"/>
      <c r="C596" s="1495"/>
      <c r="D596" s="1502"/>
      <c r="E596" s="855"/>
      <c r="F596" s="856">
        <f>SUM(G596:J596)</f>
        <v>0</v>
      </c>
      <c r="G596" s="856"/>
      <c r="H596" s="856"/>
      <c r="I596" s="856"/>
      <c r="J596" s="857"/>
      <c r="K596" s="849"/>
    </row>
    <row r="597" spans="1:11" s="850" customFormat="1" ht="24.95" hidden="1" customHeight="1">
      <c r="A597" s="1500"/>
      <c r="B597" s="1501"/>
      <c r="C597" s="1495"/>
      <c r="D597" s="1502"/>
      <c r="E597" s="860" t="s">
        <v>981</v>
      </c>
      <c r="F597" s="861">
        <f>SUM(F598:F601)</f>
        <v>0</v>
      </c>
      <c r="G597" s="861">
        <f>SUM(G598:G601)</f>
        <v>0</v>
      </c>
      <c r="H597" s="861">
        <f>SUM(H598:H601)</f>
        <v>0</v>
      </c>
      <c r="I597" s="861">
        <f>SUM(I598:I601)</f>
        <v>0</v>
      </c>
      <c r="J597" s="862">
        <f>SUM(J598:J601)</f>
        <v>0</v>
      </c>
      <c r="K597" s="849"/>
    </row>
    <row r="598" spans="1:11" s="850" customFormat="1" ht="15" hidden="1" customHeight="1">
      <c r="A598" s="1500"/>
      <c r="B598" s="1501"/>
      <c r="C598" s="1495"/>
      <c r="D598" s="1502"/>
      <c r="E598" s="855"/>
      <c r="F598" s="856">
        <f t="shared" ref="F598:F601" si="33">SUM(G598:J598)</f>
        <v>0</v>
      </c>
      <c r="G598" s="856"/>
      <c r="H598" s="856"/>
      <c r="I598" s="856"/>
      <c r="J598" s="857"/>
      <c r="K598" s="849"/>
    </row>
    <row r="599" spans="1:11" s="850" customFormat="1" ht="15" hidden="1" customHeight="1">
      <c r="A599" s="1500"/>
      <c r="B599" s="1501"/>
      <c r="C599" s="1495"/>
      <c r="D599" s="1502"/>
      <c r="E599" s="855"/>
      <c r="F599" s="856">
        <f t="shared" si="33"/>
        <v>0</v>
      </c>
      <c r="G599" s="856"/>
      <c r="H599" s="856"/>
      <c r="I599" s="856"/>
      <c r="J599" s="857"/>
      <c r="K599" s="849"/>
    </row>
    <row r="600" spans="1:11" s="850" customFormat="1" ht="15" hidden="1" customHeight="1">
      <c r="A600" s="1500"/>
      <c r="B600" s="1501"/>
      <c r="C600" s="1495"/>
      <c r="D600" s="1502"/>
      <c r="E600" s="855"/>
      <c r="F600" s="856">
        <f t="shared" si="33"/>
        <v>0</v>
      </c>
      <c r="G600" s="856"/>
      <c r="H600" s="856"/>
      <c r="I600" s="856"/>
      <c r="J600" s="857"/>
      <c r="K600" s="849"/>
    </row>
    <row r="601" spans="1:11" s="850" customFormat="1" ht="15" hidden="1" customHeight="1">
      <c r="A601" s="1500"/>
      <c r="B601" s="1501"/>
      <c r="C601" s="1495"/>
      <c r="D601" s="1502"/>
      <c r="E601" s="855"/>
      <c r="F601" s="856">
        <f t="shared" si="33"/>
        <v>0</v>
      </c>
      <c r="G601" s="856"/>
      <c r="H601" s="856"/>
      <c r="I601" s="856"/>
      <c r="J601" s="857"/>
      <c r="K601" s="849"/>
    </row>
    <row r="602" spans="1:11" s="850" customFormat="1" ht="24.95" hidden="1" customHeight="1">
      <c r="A602" s="1500"/>
      <c r="B602" s="1501"/>
      <c r="C602" s="1495"/>
      <c r="D602" s="1502"/>
      <c r="E602" s="860" t="s">
        <v>982</v>
      </c>
      <c r="F602" s="861">
        <f>SUM(F603:F606)</f>
        <v>0</v>
      </c>
      <c r="G602" s="861">
        <f>SUM(G603:G606)</f>
        <v>0</v>
      </c>
      <c r="H602" s="861">
        <f>SUM(H603:H606)</f>
        <v>0</v>
      </c>
      <c r="I602" s="861">
        <f>SUM(I603:I606)</f>
        <v>0</v>
      </c>
      <c r="J602" s="862">
        <f>SUM(J603:J606)</f>
        <v>0</v>
      </c>
      <c r="K602" s="849"/>
    </row>
    <row r="603" spans="1:11" s="850" customFormat="1" ht="15" hidden="1" customHeight="1">
      <c r="A603" s="1500"/>
      <c r="B603" s="1501"/>
      <c r="C603" s="1495"/>
      <c r="D603" s="1502"/>
      <c r="E603" s="855"/>
      <c r="F603" s="856">
        <f t="shared" ref="F603:F606" si="34">SUM(G603:J603)</f>
        <v>0</v>
      </c>
      <c r="G603" s="856"/>
      <c r="H603" s="856"/>
      <c r="I603" s="856"/>
      <c r="J603" s="857"/>
      <c r="K603" s="849"/>
    </row>
    <row r="604" spans="1:11" s="850" customFormat="1" ht="15" hidden="1" customHeight="1">
      <c r="A604" s="1500"/>
      <c r="B604" s="1501"/>
      <c r="C604" s="1495"/>
      <c r="D604" s="1502"/>
      <c r="E604" s="855"/>
      <c r="F604" s="856">
        <f t="shared" si="34"/>
        <v>0</v>
      </c>
      <c r="G604" s="856"/>
      <c r="H604" s="856"/>
      <c r="I604" s="856"/>
      <c r="J604" s="857"/>
      <c r="K604" s="849"/>
    </row>
    <row r="605" spans="1:11" s="850" customFormat="1" ht="15" hidden="1" customHeight="1">
      <c r="A605" s="1500"/>
      <c r="B605" s="1501"/>
      <c r="C605" s="1495"/>
      <c r="D605" s="1502"/>
      <c r="E605" s="855"/>
      <c r="F605" s="856">
        <f t="shared" si="34"/>
        <v>0</v>
      </c>
      <c r="G605" s="856"/>
      <c r="H605" s="856"/>
      <c r="I605" s="856"/>
      <c r="J605" s="857"/>
      <c r="K605" s="849"/>
    </row>
    <row r="606" spans="1:11" s="850" customFormat="1" ht="15" hidden="1" customHeight="1">
      <c r="A606" s="1500"/>
      <c r="B606" s="1501"/>
      <c r="C606" s="1495"/>
      <c r="D606" s="1502"/>
      <c r="E606" s="855"/>
      <c r="F606" s="856">
        <f t="shared" si="34"/>
        <v>0</v>
      </c>
      <c r="G606" s="856"/>
      <c r="H606" s="856"/>
      <c r="I606" s="856"/>
      <c r="J606" s="857"/>
      <c r="K606" s="849"/>
    </row>
    <row r="607" spans="1:11" s="850" customFormat="1" ht="24.95" hidden="1" customHeight="1">
      <c r="A607" s="1500"/>
      <c r="B607" s="1501"/>
      <c r="C607" s="1495"/>
      <c r="D607" s="1502"/>
      <c r="E607" s="858" t="s">
        <v>977</v>
      </c>
      <c r="F607" s="852">
        <f>SUM(F608:F610)</f>
        <v>0</v>
      </c>
      <c r="G607" s="852">
        <f>SUM(G608:G610)</f>
        <v>0</v>
      </c>
      <c r="H607" s="852">
        <f>SUM(H608:H610)</f>
        <v>0</v>
      </c>
      <c r="I607" s="852">
        <f>SUM(I608:I610)</f>
        <v>0</v>
      </c>
      <c r="J607" s="853">
        <f>SUM(J608:J610)</f>
        <v>0</v>
      </c>
      <c r="K607" s="849"/>
    </row>
    <row r="608" spans="1:11" s="850" customFormat="1" ht="15" hidden="1" customHeight="1">
      <c r="A608" s="1500"/>
      <c r="B608" s="1501"/>
      <c r="C608" s="1495"/>
      <c r="D608" s="1502"/>
      <c r="E608" s="855"/>
      <c r="F608" s="856">
        <f>SUM(G608:J608)</f>
        <v>0</v>
      </c>
      <c r="G608" s="856"/>
      <c r="H608" s="856"/>
      <c r="I608" s="856"/>
      <c r="J608" s="857"/>
      <c r="K608" s="849"/>
    </row>
    <row r="609" spans="1:226" s="850" customFormat="1" ht="15" hidden="1" customHeight="1">
      <c r="A609" s="1500"/>
      <c r="B609" s="1501"/>
      <c r="C609" s="1495"/>
      <c r="D609" s="1502"/>
      <c r="E609" s="855"/>
      <c r="F609" s="856"/>
      <c r="G609" s="856"/>
      <c r="H609" s="856"/>
      <c r="I609" s="856"/>
      <c r="J609" s="857"/>
      <c r="K609" s="849"/>
    </row>
    <row r="610" spans="1:226" s="850" customFormat="1" ht="15" hidden="1" customHeight="1">
      <c r="A610" s="1500"/>
      <c r="B610" s="1501"/>
      <c r="C610" s="1495"/>
      <c r="D610" s="1502"/>
      <c r="E610" s="897"/>
      <c r="F610" s="856">
        <f>SUM(G610:J610)</f>
        <v>0</v>
      </c>
      <c r="G610" s="856"/>
      <c r="H610" s="856"/>
      <c r="I610" s="856"/>
      <c r="J610" s="857"/>
      <c r="K610" s="849"/>
    </row>
    <row r="611" spans="1:226" s="850" customFormat="1" ht="21" customHeight="1">
      <c r="A611" s="1503" t="s">
        <v>996</v>
      </c>
      <c r="B611" s="1506" t="s">
        <v>1043</v>
      </c>
      <c r="C611" s="1516">
        <v>853</v>
      </c>
      <c r="D611" s="1542" t="s">
        <v>628</v>
      </c>
      <c r="E611" s="846" t="s">
        <v>976</v>
      </c>
      <c r="F611" s="847">
        <f>SUM(F612,F652)</f>
        <v>4656761</v>
      </c>
      <c r="G611" s="847">
        <f>SUM(G612,G652)</f>
        <v>732043</v>
      </c>
      <c r="H611" s="847">
        <f>SUM(H612,H652)</f>
        <v>0</v>
      </c>
      <c r="I611" s="847">
        <f>SUM(I612,I652)</f>
        <v>3924718</v>
      </c>
      <c r="J611" s="848">
        <f>SUM(J612,J652)</f>
        <v>0</v>
      </c>
      <c r="K611" s="849"/>
    </row>
    <row r="612" spans="1:226" s="850" customFormat="1" ht="21">
      <c r="A612" s="1504"/>
      <c r="B612" s="1507"/>
      <c r="C612" s="1541"/>
      <c r="D612" s="1543"/>
      <c r="E612" s="851" t="s">
        <v>990</v>
      </c>
      <c r="F612" s="852">
        <f>SUM(F613,F616,F627)</f>
        <v>4656761</v>
      </c>
      <c r="G612" s="852">
        <f>SUM(G613,G616,G627)</f>
        <v>732043</v>
      </c>
      <c r="H612" s="852">
        <f>SUM(H613,H616,H627)</f>
        <v>0</v>
      </c>
      <c r="I612" s="852">
        <f>SUM(I613,I616,I627)</f>
        <v>3924718</v>
      </c>
      <c r="J612" s="853">
        <f>SUM(J613,J616,J627)</f>
        <v>0</v>
      </c>
      <c r="K612" s="849"/>
      <c r="L612" s="849"/>
      <c r="M612" s="849"/>
      <c r="N612" s="849"/>
      <c r="O612" s="849"/>
      <c r="P612" s="849"/>
      <c r="Q612" s="849"/>
      <c r="R612" s="849"/>
      <c r="S612" s="849"/>
      <c r="T612" s="849"/>
      <c r="U612" s="849"/>
      <c r="V612" s="849"/>
      <c r="W612" s="849"/>
      <c r="X612" s="849"/>
      <c r="Y612" s="849"/>
      <c r="Z612" s="849"/>
      <c r="AA612" s="849"/>
      <c r="AB612" s="849"/>
      <c r="AC612" s="849"/>
      <c r="AD612" s="849"/>
      <c r="AE612" s="849"/>
      <c r="AF612" s="849"/>
      <c r="AG612" s="849"/>
      <c r="AH612" s="849"/>
      <c r="AI612" s="849"/>
      <c r="AJ612" s="849"/>
      <c r="AK612" s="849"/>
      <c r="AL612" s="849"/>
      <c r="AM612" s="849"/>
      <c r="AN612" s="849"/>
      <c r="AO612" s="849"/>
      <c r="AP612" s="849"/>
      <c r="AQ612" s="849"/>
      <c r="AR612" s="849"/>
      <c r="AS612" s="849"/>
      <c r="AT612" s="849"/>
      <c r="AU612" s="849"/>
      <c r="AV612" s="849"/>
      <c r="AW612" s="849"/>
      <c r="AX612" s="849"/>
      <c r="AY612" s="849"/>
      <c r="AZ612" s="849"/>
      <c r="BA612" s="849"/>
      <c r="BB612" s="849"/>
      <c r="BC612" s="849"/>
      <c r="BD612" s="849"/>
      <c r="BE612" s="849"/>
      <c r="BF612" s="849"/>
      <c r="BG612" s="849"/>
      <c r="BH612" s="849"/>
      <c r="BI612" s="849"/>
      <c r="BJ612" s="849"/>
      <c r="BK612" s="849"/>
      <c r="BL612" s="849"/>
      <c r="BM612" s="849"/>
      <c r="BN612" s="849"/>
      <c r="BO612" s="849"/>
      <c r="BP612" s="849"/>
      <c r="BQ612" s="849"/>
      <c r="BR612" s="849"/>
      <c r="BS612" s="849"/>
      <c r="BT612" s="849"/>
      <c r="BU612" s="849"/>
      <c r="BV612" s="849"/>
      <c r="BW612" s="849"/>
      <c r="BX612" s="849"/>
      <c r="BY612" s="849"/>
      <c r="BZ612" s="849"/>
      <c r="CA612" s="849"/>
      <c r="CB612" s="849"/>
      <c r="CC612" s="849"/>
      <c r="CD612" s="849"/>
      <c r="CE612" s="849"/>
      <c r="CF612" s="849"/>
      <c r="CG612" s="849"/>
      <c r="CH612" s="849"/>
      <c r="CI612" s="849"/>
      <c r="CJ612" s="849"/>
      <c r="CK612" s="849"/>
      <c r="CL612" s="849"/>
      <c r="CM612" s="849"/>
      <c r="CN612" s="849"/>
      <c r="CO612" s="849"/>
      <c r="CP612" s="849"/>
      <c r="CQ612" s="849"/>
      <c r="CR612" s="849"/>
      <c r="CS612" s="849"/>
      <c r="CT612" s="849"/>
      <c r="CU612" s="849"/>
      <c r="CV612" s="849"/>
      <c r="CW612" s="849"/>
      <c r="CX612" s="849"/>
      <c r="CY612" s="849"/>
      <c r="CZ612" s="849"/>
      <c r="DA612" s="849"/>
      <c r="DB612" s="849"/>
      <c r="DC612" s="849"/>
      <c r="DD612" s="849"/>
      <c r="DE612" s="849"/>
      <c r="DF612" s="849"/>
      <c r="DG612" s="849"/>
      <c r="DH612" s="849"/>
      <c r="DI612" s="849"/>
      <c r="DJ612" s="849"/>
      <c r="DK612" s="849"/>
      <c r="DL612" s="849"/>
      <c r="DM612" s="849"/>
      <c r="DN612" s="849"/>
      <c r="DO612" s="849"/>
      <c r="DP612" s="849"/>
      <c r="DQ612" s="849"/>
      <c r="DR612" s="849"/>
      <c r="DS612" s="849"/>
      <c r="DT612" s="849"/>
      <c r="DU612" s="849"/>
      <c r="DV612" s="849"/>
      <c r="DW612" s="849"/>
      <c r="DX612" s="849"/>
      <c r="DY612" s="849"/>
      <c r="DZ612" s="849"/>
      <c r="EA612" s="849"/>
      <c r="EB612" s="849"/>
      <c r="EC612" s="849"/>
      <c r="ED612" s="849"/>
      <c r="EE612" s="849"/>
      <c r="EF612" s="849"/>
      <c r="EG612" s="849"/>
      <c r="EH612" s="849"/>
      <c r="EI612" s="849"/>
      <c r="EJ612" s="849"/>
      <c r="EK612" s="849"/>
      <c r="EL612" s="849"/>
      <c r="EM612" s="849"/>
      <c r="EN612" s="849"/>
      <c r="EO612" s="849"/>
      <c r="EP612" s="849"/>
      <c r="EQ612" s="849"/>
      <c r="ER612" s="849"/>
      <c r="ES612" s="849"/>
      <c r="ET612" s="849"/>
      <c r="EU612" s="849"/>
      <c r="EV612" s="849"/>
      <c r="EW612" s="849"/>
      <c r="EX612" s="849"/>
      <c r="EY612" s="849"/>
      <c r="EZ612" s="849"/>
      <c r="FA612" s="849"/>
      <c r="FB612" s="849"/>
      <c r="FC612" s="849"/>
      <c r="FD612" s="849"/>
      <c r="FE612" s="849"/>
      <c r="FF612" s="849"/>
      <c r="FG612" s="849"/>
      <c r="FH612" s="849"/>
      <c r="FI612" s="849"/>
      <c r="FJ612" s="849"/>
      <c r="FK612" s="849"/>
      <c r="FL612" s="849"/>
      <c r="FM612" s="849"/>
      <c r="FN612" s="849"/>
      <c r="FO612" s="849"/>
      <c r="FP612" s="849"/>
      <c r="FQ612" s="849"/>
      <c r="FR612" s="849"/>
      <c r="FS612" s="849"/>
      <c r="FT612" s="849"/>
      <c r="FU612" s="849"/>
      <c r="FV612" s="849"/>
      <c r="FW612" s="849"/>
      <c r="FX612" s="849"/>
      <c r="FY612" s="849"/>
      <c r="FZ612" s="849"/>
      <c r="GA612" s="849"/>
      <c r="GB612" s="849"/>
      <c r="GC612" s="849"/>
      <c r="GD612" s="849"/>
      <c r="GE612" s="849"/>
      <c r="GF612" s="849"/>
      <c r="GG612" s="849"/>
      <c r="GH612" s="849"/>
      <c r="GI612" s="849"/>
      <c r="GJ612" s="849"/>
      <c r="GK612" s="849"/>
      <c r="GL612" s="849"/>
      <c r="GM612" s="849"/>
      <c r="GN612" s="849"/>
      <c r="GO612" s="849"/>
      <c r="GP612" s="849"/>
      <c r="GQ612" s="849"/>
      <c r="GR612" s="849"/>
      <c r="GS612" s="849"/>
      <c r="GT612" s="849"/>
      <c r="GU612" s="849"/>
      <c r="GV612" s="849"/>
      <c r="GW612" s="849"/>
      <c r="GX612" s="849"/>
      <c r="GY612" s="849"/>
      <c r="GZ612" s="849"/>
      <c r="HA612" s="849"/>
      <c r="HB612" s="849"/>
      <c r="HC612" s="849"/>
      <c r="HD612" s="849"/>
      <c r="HE612" s="849"/>
      <c r="HF612" s="849"/>
      <c r="HG612" s="849"/>
      <c r="HH612" s="849"/>
      <c r="HI612" s="849"/>
      <c r="HJ612" s="849"/>
      <c r="HK612" s="849"/>
      <c r="HL612" s="849"/>
      <c r="HM612" s="849"/>
      <c r="HN612" s="849"/>
      <c r="HO612" s="849"/>
      <c r="HP612" s="849"/>
      <c r="HQ612" s="849"/>
      <c r="HR612" s="849"/>
    </row>
    <row r="613" spans="1:226" s="850" customFormat="1" ht="24.95" hidden="1" customHeight="1">
      <c r="A613" s="1504"/>
      <c r="B613" s="1507"/>
      <c r="C613" s="1541"/>
      <c r="D613" s="1543"/>
      <c r="E613" s="860" t="s">
        <v>991</v>
      </c>
      <c r="F613" s="861">
        <f>SUM(F614:F615)</f>
        <v>0</v>
      </c>
      <c r="G613" s="861">
        <f>SUM(G614:G615)</f>
        <v>0</v>
      </c>
      <c r="H613" s="861">
        <f>SUM(H614:H615)</f>
        <v>0</v>
      </c>
      <c r="I613" s="861">
        <f>SUM(I614:I615)</f>
        <v>0</v>
      </c>
      <c r="J613" s="862">
        <f>SUM(J614:J615)</f>
        <v>0</v>
      </c>
      <c r="K613" s="849"/>
    </row>
    <row r="614" spans="1:226" s="850" customFormat="1" ht="15" hidden="1" customHeight="1">
      <c r="A614" s="1504"/>
      <c r="B614" s="1507"/>
      <c r="C614" s="1541"/>
      <c r="D614" s="1543"/>
      <c r="E614" s="855"/>
      <c r="F614" s="856">
        <f>SUM(G614:J614)</f>
        <v>0</v>
      </c>
      <c r="G614" s="856"/>
      <c r="H614" s="856"/>
      <c r="I614" s="856"/>
      <c r="J614" s="857"/>
      <c r="K614" s="849"/>
    </row>
    <row r="615" spans="1:226" s="850" customFormat="1" ht="15" hidden="1" customHeight="1">
      <c r="A615" s="1504"/>
      <c r="B615" s="1507"/>
      <c r="C615" s="1541"/>
      <c r="D615" s="1543"/>
      <c r="E615" s="855"/>
      <c r="F615" s="856">
        <f>SUM(G615:J615)</f>
        <v>0</v>
      </c>
      <c r="G615" s="856"/>
      <c r="H615" s="856"/>
      <c r="I615" s="856"/>
      <c r="J615" s="857"/>
      <c r="K615" s="849"/>
    </row>
    <row r="616" spans="1:226" s="850" customFormat="1" ht="20.25" customHeight="1">
      <c r="A616" s="1504"/>
      <c r="B616" s="1507"/>
      <c r="C616" s="1541"/>
      <c r="D616" s="1543"/>
      <c r="E616" s="860" t="s">
        <v>981</v>
      </c>
      <c r="F616" s="861">
        <f>SUM(F617:F626)</f>
        <v>3790625</v>
      </c>
      <c r="G616" s="861">
        <f>SUM(G617:G626)</f>
        <v>595888</v>
      </c>
      <c r="H616" s="861">
        <f>SUM(H617:H626)</f>
        <v>0</v>
      </c>
      <c r="I616" s="861">
        <f>SUM(I617:I626)</f>
        <v>3194737</v>
      </c>
      <c r="J616" s="862">
        <f>SUM(J617:J626)</f>
        <v>0</v>
      </c>
      <c r="K616" s="849"/>
    </row>
    <row r="617" spans="1:226" s="850" customFormat="1" ht="15" customHeight="1">
      <c r="A617" s="1504"/>
      <c r="B617" s="1507"/>
      <c r="C617" s="1541"/>
      <c r="D617" s="1543"/>
      <c r="E617" s="855" t="s">
        <v>214</v>
      </c>
      <c r="F617" s="856">
        <f t="shared" ref="F617:F626" si="35">SUM(G617:J617)</f>
        <v>2029209</v>
      </c>
      <c r="G617" s="856"/>
      <c r="H617" s="856"/>
      <c r="I617" s="856">
        <v>2029209</v>
      </c>
      <c r="J617" s="857"/>
      <c r="K617" s="849"/>
    </row>
    <row r="618" spans="1:226" s="850" customFormat="1" ht="15" customHeight="1">
      <c r="A618" s="1504"/>
      <c r="B618" s="1507"/>
      <c r="C618" s="1541"/>
      <c r="D618" s="1543"/>
      <c r="E618" s="855" t="s">
        <v>215</v>
      </c>
      <c r="F618" s="856">
        <f t="shared" si="35"/>
        <v>378491</v>
      </c>
      <c r="G618" s="856">
        <v>378491</v>
      </c>
      <c r="H618" s="856"/>
      <c r="I618" s="856"/>
      <c r="J618" s="857"/>
      <c r="K618" s="849"/>
    </row>
    <row r="619" spans="1:226" s="850" customFormat="1" ht="15" customHeight="1">
      <c r="A619" s="1504"/>
      <c r="B619" s="1507"/>
      <c r="C619" s="1541"/>
      <c r="D619" s="1543"/>
      <c r="E619" s="855" t="s">
        <v>216</v>
      </c>
      <c r="F619" s="856">
        <f t="shared" si="35"/>
        <v>614894</v>
      </c>
      <c r="G619" s="856"/>
      <c r="H619" s="856"/>
      <c r="I619" s="856">
        <v>614894</v>
      </c>
      <c r="J619" s="857"/>
      <c r="K619" s="849"/>
    </row>
    <row r="620" spans="1:226" s="850" customFormat="1" ht="15" customHeight="1">
      <c r="A620" s="1504"/>
      <c r="B620" s="1507"/>
      <c r="C620" s="1541"/>
      <c r="D620" s="1543"/>
      <c r="E620" s="855" t="s">
        <v>217</v>
      </c>
      <c r="F620" s="856">
        <f t="shared" si="35"/>
        <v>114691</v>
      </c>
      <c r="G620" s="856">
        <v>114691</v>
      </c>
      <c r="H620" s="856"/>
      <c r="I620" s="856"/>
      <c r="J620" s="857"/>
      <c r="K620" s="849"/>
    </row>
    <row r="621" spans="1:226" s="850" customFormat="1" ht="15" customHeight="1">
      <c r="A621" s="1504"/>
      <c r="B621" s="1507"/>
      <c r="C621" s="1541"/>
      <c r="D621" s="1543"/>
      <c r="E621" s="855" t="s">
        <v>218</v>
      </c>
      <c r="F621" s="856">
        <f t="shared" si="35"/>
        <v>452141</v>
      </c>
      <c r="G621" s="856"/>
      <c r="H621" s="856"/>
      <c r="I621" s="856">
        <v>452141</v>
      </c>
      <c r="J621" s="857"/>
      <c r="K621" s="849"/>
    </row>
    <row r="622" spans="1:226" s="850" customFormat="1" ht="15" customHeight="1">
      <c r="A622" s="1504"/>
      <c r="B622" s="1507"/>
      <c r="C622" s="1541"/>
      <c r="D622" s="1543"/>
      <c r="E622" s="855" t="s">
        <v>219</v>
      </c>
      <c r="F622" s="856">
        <f t="shared" si="35"/>
        <v>84335</v>
      </c>
      <c r="G622" s="856">
        <v>84335</v>
      </c>
      <c r="H622" s="856"/>
      <c r="I622" s="856"/>
      <c r="J622" s="857"/>
      <c r="K622" s="849"/>
    </row>
    <row r="623" spans="1:226" s="850" customFormat="1" ht="15" customHeight="1">
      <c r="A623" s="1504"/>
      <c r="B623" s="1507"/>
      <c r="C623" s="1541"/>
      <c r="D623" s="1543"/>
      <c r="E623" s="855" t="s">
        <v>220</v>
      </c>
      <c r="F623" s="856">
        <f t="shared" si="35"/>
        <v>64781</v>
      </c>
      <c r="G623" s="856"/>
      <c r="H623" s="856"/>
      <c r="I623" s="856">
        <v>64781</v>
      </c>
      <c r="J623" s="857"/>
      <c r="K623" s="849"/>
    </row>
    <row r="624" spans="1:226" s="850" customFormat="1" ht="15" customHeight="1">
      <c r="A624" s="1504"/>
      <c r="B624" s="1507"/>
      <c r="C624" s="1541"/>
      <c r="D624" s="1543"/>
      <c r="E624" s="855" t="s">
        <v>221</v>
      </c>
      <c r="F624" s="856">
        <f t="shared" si="35"/>
        <v>12083</v>
      </c>
      <c r="G624" s="856">
        <v>12083</v>
      </c>
      <c r="H624" s="856"/>
      <c r="I624" s="856"/>
      <c r="J624" s="857"/>
      <c r="K624" s="849"/>
    </row>
    <row r="625" spans="1:11" s="850" customFormat="1" ht="15" customHeight="1">
      <c r="A625" s="1504"/>
      <c r="B625" s="1507"/>
      <c r="C625" s="1541"/>
      <c r="D625" s="1543"/>
      <c r="E625" s="855" t="s">
        <v>222</v>
      </c>
      <c r="F625" s="856">
        <f t="shared" si="35"/>
        <v>33712</v>
      </c>
      <c r="G625" s="856"/>
      <c r="H625" s="856"/>
      <c r="I625" s="856">
        <v>33712</v>
      </c>
      <c r="J625" s="857"/>
      <c r="K625" s="849"/>
    </row>
    <row r="626" spans="1:11" s="850" customFormat="1" ht="15" customHeight="1">
      <c r="A626" s="1504"/>
      <c r="B626" s="1507"/>
      <c r="C626" s="1541"/>
      <c r="D626" s="1543"/>
      <c r="E626" s="855" t="s">
        <v>223</v>
      </c>
      <c r="F626" s="856">
        <f t="shared" si="35"/>
        <v>6288</v>
      </c>
      <c r="G626" s="856">
        <v>6288</v>
      </c>
      <c r="H626" s="856"/>
      <c r="I626" s="856"/>
      <c r="J626" s="857"/>
      <c r="K626" s="849"/>
    </row>
    <row r="627" spans="1:11" s="850" customFormat="1" ht="19.5" customHeight="1">
      <c r="A627" s="1504"/>
      <c r="B627" s="1507"/>
      <c r="C627" s="1541"/>
      <c r="D627" s="1543"/>
      <c r="E627" s="860" t="s">
        <v>982</v>
      </c>
      <c r="F627" s="861">
        <f>SUM(F628:F651)</f>
        <v>866136</v>
      </c>
      <c r="G627" s="861">
        <f>SUM(G628:G651)</f>
        <v>136155</v>
      </c>
      <c r="H627" s="861">
        <f>SUM(H628:H651)</f>
        <v>0</v>
      </c>
      <c r="I627" s="861">
        <f>SUM(I628:I651)</f>
        <v>729981</v>
      </c>
      <c r="J627" s="862">
        <f>SUM(J628:J651)</f>
        <v>0</v>
      </c>
      <c r="K627" s="849"/>
    </row>
    <row r="628" spans="1:11" s="850" customFormat="1" ht="15" customHeight="1">
      <c r="A628" s="1504"/>
      <c r="B628" s="1507"/>
      <c r="C628" s="1541"/>
      <c r="D628" s="1543"/>
      <c r="E628" s="855" t="s">
        <v>389</v>
      </c>
      <c r="F628" s="856">
        <f t="shared" ref="F628:F651" si="36">SUM(G628:J628)</f>
        <v>4214</v>
      </c>
      <c r="G628" s="856"/>
      <c r="H628" s="856"/>
      <c r="I628" s="856">
        <v>4214</v>
      </c>
      <c r="J628" s="857"/>
      <c r="K628" s="849"/>
    </row>
    <row r="629" spans="1:11" s="850" customFormat="1" ht="15" customHeight="1">
      <c r="A629" s="1504"/>
      <c r="B629" s="1507"/>
      <c r="C629" s="1541"/>
      <c r="D629" s="1543"/>
      <c r="E629" s="855" t="s">
        <v>390</v>
      </c>
      <c r="F629" s="856">
        <f t="shared" si="36"/>
        <v>786</v>
      </c>
      <c r="G629" s="856">
        <v>786</v>
      </c>
      <c r="H629" s="856"/>
      <c r="I629" s="856"/>
      <c r="J629" s="857"/>
      <c r="K629" s="849"/>
    </row>
    <row r="630" spans="1:11" s="850" customFormat="1" ht="15" customHeight="1">
      <c r="A630" s="1504"/>
      <c r="B630" s="1507"/>
      <c r="C630" s="1541"/>
      <c r="D630" s="1543"/>
      <c r="E630" s="855" t="s">
        <v>227</v>
      </c>
      <c r="F630" s="856">
        <f t="shared" si="36"/>
        <v>142981</v>
      </c>
      <c r="G630" s="856"/>
      <c r="H630" s="856"/>
      <c r="I630" s="856">
        <v>142981</v>
      </c>
      <c r="J630" s="857"/>
      <c r="K630" s="849"/>
    </row>
    <row r="631" spans="1:11" s="850" customFormat="1" ht="15" customHeight="1">
      <c r="A631" s="1504"/>
      <c r="B631" s="1507"/>
      <c r="C631" s="1541"/>
      <c r="D631" s="1543"/>
      <c r="E631" s="855" t="s">
        <v>228</v>
      </c>
      <c r="F631" s="856">
        <f t="shared" si="36"/>
        <v>26669</v>
      </c>
      <c r="G631" s="856">
        <v>26669</v>
      </c>
      <c r="H631" s="856"/>
      <c r="I631" s="856"/>
      <c r="J631" s="857"/>
      <c r="K631" s="849"/>
    </row>
    <row r="632" spans="1:11" s="850" customFormat="1" ht="15" customHeight="1">
      <c r="A632" s="1504"/>
      <c r="B632" s="1507"/>
      <c r="C632" s="1541"/>
      <c r="D632" s="1543"/>
      <c r="E632" s="855" t="s">
        <v>398</v>
      </c>
      <c r="F632" s="856">
        <f t="shared" si="36"/>
        <v>49599</v>
      </c>
      <c r="G632" s="856"/>
      <c r="H632" s="856"/>
      <c r="I632" s="856">
        <v>49599</v>
      </c>
      <c r="J632" s="857"/>
      <c r="K632" s="849"/>
    </row>
    <row r="633" spans="1:11" s="850" customFormat="1" ht="15" customHeight="1">
      <c r="A633" s="1504"/>
      <c r="B633" s="1507"/>
      <c r="C633" s="1541"/>
      <c r="D633" s="1543"/>
      <c r="E633" s="855" t="s">
        <v>399</v>
      </c>
      <c r="F633" s="856">
        <f t="shared" si="36"/>
        <v>9251</v>
      </c>
      <c r="G633" s="856">
        <v>9251</v>
      </c>
      <c r="H633" s="856"/>
      <c r="I633" s="856"/>
      <c r="J633" s="857"/>
      <c r="K633" s="849"/>
    </row>
    <row r="634" spans="1:11" s="850" customFormat="1" ht="15" customHeight="1">
      <c r="A634" s="1504"/>
      <c r="B634" s="1507"/>
      <c r="C634" s="1541"/>
      <c r="D634" s="1543"/>
      <c r="E634" s="855" t="s">
        <v>400</v>
      </c>
      <c r="F634" s="856">
        <f t="shared" si="36"/>
        <v>379</v>
      </c>
      <c r="G634" s="856"/>
      <c r="H634" s="856"/>
      <c r="I634" s="856">
        <v>379</v>
      </c>
      <c r="J634" s="857"/>
      <c r="K634" s="849"/>
    </row>
    <row r="635" spans="1:11" s="850" customFormat="1" ht="15" customHeight="1">
      <c r="A635" s="1504"/>
      <c r="B635" s="1507"/>
      <c r="C635" s="1541"/>
      <c r="D635" s="1543"/>
      <c r="E635" s="855" t="s">
        <v>401</v>
      </c>
      <c r="F635" s="856">
        <f t="shared" si="36"/>
        <v>71</v>
      </c>
      <c r="G635" s="856">
        <v>71</v>
      </c>
      <c r="H635" s="856"/>
      <c r="I635" s="856"/>
      <c r="J635" s="857"/>
      <c r="K635" s="849"/>
    </row>
    <row r="636" spans="1:11" s="850" customFormat="1" ht="15" customHeight="1">
      <c r="A636" s="1504"/>
      <c r="B636" s="1507"/>
      <c r="C636" s="1541"/>
      <c r="D636" s="1543"/>
      <c r="E636" s="855" t="s">
        <v>231</v>
      </c>
      <c r="F636" s="856">
        <f t="shared" si="36"/>
        <v>75393</v>
      </c>
      <c r="G636" s="856"/>
      <c r="H636" s="856"/>
      <c r="I636" s="856">
        <v>75393</v>
      </c>
      <c r="J636" s="857"/>
      <c r="K636" s="849"/>
    </row>
    <row r="637" spans="1:11" s="850" customFormat="1" ht="15" customHeight="1">
      <c r="A637" s="1504"/>
      <c r="B637" s="1507"/>
      <c r="C637" s="1541"/>
      <c r="D637" s="1543"/>
      <c r="E637" s="855" t="s">
        <v>232</v>
      </c>
      <c r="F637" s="856">
        <f t="shared" si="36"/>
        <v>14062</v>
      </c>
      <c r="G637" s="856">
        <v>14062</v>
      </c>
      <c r="H637" s="856"/>
      <c r="I637" s="856"/>
      <c r="J637" s="857"/>
      <c r="K637" s="849"/>
    </row>
    <row r="638" spans="1:11" s="850" customFormat="1" ht="15" customHeight="1">
      <c r="A638" s="1504"/>
      <c r="B638" s="1507"/>
      <c r="C638" s="1541"/>
      <c r="D638" s="1543"/>
      <c r="E638" s="855" t="s">
        <v>270</v>
      </c>
      <c r="F638" s="856">
        <f t="shared" si="36"/>
        <v>13485</v>
      </c>
      <c r="G638" s="856"/>
      <c r="H638" s="856"/>
      <c r="I638" s="856">
        <v>13485</v>
      </c>
      <c r="J638" s="857"/>
      <c r="K638" s="849"/>
    </row>
    <row r="639" spans="1:11" s="850" customFormat="1" ht="15" customHeight="1">
      <c r="A639" s="1504"/>
      <c r="B639" s="1507"/>
      <c r="C639" s="1541"/>
      <c r="D639" s="1543"/>
      <c r="E639" s="855" t="s">
        <v>271</v>
      </c>
      <c r="F639" s="856">
        <f t="shared" si="36"/>
        <v>2515</v>
      </c>
      <c r="G639" s="856">
        <v>2515</v>
      </c>
      <c r="H639" s="856"/>
      <c r="I639" s="856"/>
      <c r="J639" s="857"/>
      <c r="K639" s="849"/>
    </row>
    <row r="640" spans="1:11" s="845" customFormat="1" ht="15" customHeight="1">
      <c r="A640" s="1504"/>
      <c r="B640" s="1507"/>
      <c r="C640" s="1541"/>
      <c r="D640" s="1543"/>
      <c r="E640" s="855" t="s">
        <v>410</v>
      </c>
      <c r="F640" s="856">
        <f t="shared" si="36"/>
        <v>126420</v>
      </c>
      <c r="G640" s="856"/>
      <c r="H640" s="856"/>
      <c r="I640" s="856">
        <v>126420</v>
      </c>
      <c r="J640" s="857"/>
    </row>
    <row r="641" spans="1:226" s="840" customFormat="1" ht="15" customHeight="1">
      <c r="A641" s="1504"/>
      <c r="B641" s="1507"/>
      <c r="C641" s="1541"/>
      <c r="D641" s="1543"/>
      <c r="E641" s="855" t="s">
        <v>298</v>
      </c>
      <c r="F641" s="856">
        <f t="shared" si="36"/>
        <v>23580</v>
      </c>
      <c r="G641" s="856">
        <v>23580</v>
      </c>
      <c r="H641" s="856"/>
      <c r="I641" s="856"/>
      <c r="J641" s="857"/>
    </row>
    <row r="642" spans="1:226" s="850" customFormat="1" ht="15" customHeight="1">
      <c r="A642" s="1504"/>
      <c r="B642" s="1507"/>
      <c r="C642" s="1541"/>
      <c r="D642" s="1543"/>
      <c r="E642" s="855" t="s">
        <v>415</v>
      </c>
      <c r="F642" s="856">
        <f t="shared" si="36"/>
        <v>240709</v>
      </c>
      <c r="G642" s="856"/>
      <c r="H642" s="856"/>
      <c r="I642" s="856">
        <v>240709</v>
      </c>
      <c r="J642" s="857"/>
      <c r="K642" s="849"/>
      <c r="L642" s="849"/>
      <c r="M642" s="849"/>
      <c r="N642" s="849"/>
      <c r="O642" s="849"/>
      <c r="P642" s="849"/>
      <c r="Q642" s="849"/>
      <c r="R642" s="849"/>
      <c r="S642" s="849"/>
      <c r="T642" s="849"/>
      <c r="U642" s="849"/>
      <c r="V642" s="849"/>
      <c r="W642" s="849"/>
      <c r="X642" s="849"/>
      <c r="Y642" s="849"/>
      <c r="Z642" s="849"/>
      <c r="AA642" s="849"/>
      <c r="AB642" s="849"/>
      <c r="AC642" s="849"/>
      <c r="AD642" s="849"/>
      <c r="AE642" s="849"/>
      <c r="AF642" s="849"/>
      <c r="AG642" s="849"/>
      <c r="AH642" s="849"/>
      <c r="AI642" s="849"/>
      <c r="AJ642" s="849"/>
      <c r="AK642" s="849"/>
      <c r="AL642" s="849"/>
      <c r="AM642" s="849"/>
      <c r="AN642" s="849"/>
      <c r="AO642" s="849"/>
      <c r="AP642" s="849"/>
      <c r="AQ642" s="849"/>
      <c r="AR642" s="849"/>
      <c r="AS642" s="849"/>
      <c r="AT642" s="849"/>
      <c r="AU642" s="849"/>
      <c r="AV642" s="849"/>
      <c r="AW642" s="849"/>
      <c r="AX642" s="849"/>
      <c r="AY642" s="849"/>
      <c r="AZ642" s="849"/>
      <c r="BA642" s="849"/>
      <c r="BB642" s="849"/>
      <c r="BC642" s="849"/>
      <c r="BD642" s="849"/>
      <c r="BE642" s="849"/>
      <c r="BF642" s="849"/>
      <c r="BG642" s="849"/>
      <c r="BH642" s="849"/>
      <c r="BI642" s="849"/>
      <c r="BJ642" s="849"/>
      <c r="BK642" s="849"/>
      <c r="BL642" s="849"/>
      <c r="BM642" s="849"/>
      <c r="BN642" s="849"/>
      <c r="BO642" s="849"/>
      <c r="BP642" s="849"/>
      <c r="BQ642" s="849"/>
      <c r="BR642" s="849"/>
      <c r="BS642" s="849"/>
      <c r="BT642" s="849"/>
      <c r="BU642" s="849"/>
      <c r="BV642" s="849"/>
      <c r="BW642" s="849"/>
      <c r="BX642" s="849"/>
      <c r="BY642" s="849"/>
      <c r="BZ642" s="849"/>
      <c r="CA642" s="849"/>
      <c r="CB642" s="849"/>
      <c r="CC642" s="849"/>
      <c r="CD642" s="849"/>
      <c r="CE642" s="849"/>
      <c r="CF642" s="849"/>
      <c r="CG642" s="849"/>
      <c r="CH642" s="849"/>
      <c r="CI642" s="849"/>
      <c r="CJ642" s="849"/>
      <c r="CK642" s="849"/>
      <c r="CL642" s="849"/>
      <c r="CM642" s="849"/>
      <c r="CN642" s="849"/>
      <c r="CO642" s="849"/>
      <c r="CP642" s="849"/>
      <c r="CQ642" s="849"/>
      <c r="CR642" s="849"/>
      <c r="CS642" s="849"/>
      <c r="CT642" s="849"/>
      <c r="CU642" s="849"/>
      <c r="CV642" s="849"/>
      <c r="CW642" s="849"/>
      <c r="CX642" s="849"/>
      <c r="CY642" s="849"/>
      <c r="CZ642" s="849"/>
      <c r="DA642" s="849"/>
      <c r="DB642" s="849"/>
      <c r="DC642" s="849"/>
      <c r="DD642" s="849"/>
      <c r="DE642" s="849"/>
      <c r="DF642" s="849"/>
      <c r="DG642" s="849"/>
      <c r="DH642" s="849"/>
      <c r="DI642" s="849"/>
      <c r="DJ642" s="849"/>
      <c r="DK642" s="849"/>
      <c r="DL642" s="849"/>
      <c r="DM642" s="849"/>
      <c r="DN642" s="849"/>
      <c r="DO642" s="849"/>
      <c r="DP642" s="849"/>
      <c r="DQ642" s="849"/>
      <c r="DR642" s="849"/>
      <c r="DS642" s="849"/>
      <c r="DT642" s="849"/>
      <c r="DU642" s="849"/>
      <c r="DV642" s="849"/>
      <c r="DW642" s="849"/>
      <c r="DX642" s="849"/>
      <c r="DY642" s="849"/>
      <c r="DZ642" s="849"/>
      <c r="EA642" s="849"/>
      <c r="EB642" s="849"/>
      <c r="EC642" s="849"/>
      <c r="ED642" s="849"/>
      <c r="EE642" s="849"/>
      <c r="EF642" s="849"/>
      <c r="EG642" s="849"/>
      <c r="EH642" s="849"/>
      <c r="EI642" s="849"/>
      <c r="EJ642" s="849"/>
      <c r="EK642" s="849"/>
      <c r="EL642" s="849"/>
      <c r="EM642" s="849"/>
      <c r="EN642" s="849"/>
      <c r="EO642" s="849"/>
      <c r="EP642" s="849"/>
      <c r="EQ642" s="849"/>
      <c r="ER642" s="849"/>
      <c r="ES642" s="849"/>
      <c r="ET642" s="849"/>
      <c r="EU642" s="849"/>
      <c r="EV642" s="849"/>
      <c r="EW642" s="849"/>
      <c r="EX642" s="849"/>
      <c r="EY642" s="849"/>
      <c r="EZ642" s="849"/>
      <c r="FA642" s="849"/>
      <c r="FB642" s="849"/>
      <c r="FC642" s="849"/>
      <c r="FD642" s="849"/>
      <c r="FE642" s="849"/>
      <c r="FF642" s="849"/>
      <c r="FG642" s="849"/>
      <c r="FH642" s="849"/>
      <c r="FI642" s="849"/>
      <c r="FJ642" s="849"/>
      <c r="FK642" s="849"/>
      <c r="FL642" s="849"/>
      <c r="FM642" s="849"/>
      <c r="FN642" s="849"/>
      <c r="FO642" s="849"/>
      <c r="FP642" s="849"/>
      <c r="FQ642" s="849"/>
      <c r="FR642" s="849"/>
      <c r="FS642" s="849"/>
      <c r="FT642" s="849"/>
      <c r="FU642" s="849"/>
      <c r="FV642" s="849"/>
      <c r="FW642" s="849"/>
      <c r="FX642" s="849"/>
      <c r="FY642" s="849"/>
      <c r="FZ642" s="849"/>
      <c r="GA642" s="849"/>
      <c r="GB642" s="849"/>
      <c r="GC642" s="849"/>
      <c r="GD642" s="849"/>
      <c r="GE642" s="849"/>
      <c r="GF642" s="849"/>
      <c r="GG642" s="849"/>
      <c r="GH642" s="849"/>
      <c r="GI642" s="849"/>
      <c r="GJ642" s="849"/>
      <c r="GK642" s="849"/>
      <c r="GL642" s="849"/>
      <c r="GM642" s="849"/>
      <c r="GN642" s="849"/>
      <c r="GO642" s="849"/>
      <c r="GP642" s="849"/>
      <c r="GQ642" s="849"/>
      <c r="GR642" s="849"/>
      <c r="GS642" s="849"/>
      <c r="GT642" s="849"/>
      <c r="GU642" s="849"/>
      <c r="GV642" s="849"/>
      <c r="GW642" s="849"/>
      <c r="GX642" s="849"/>
      <c r="GY642" s="849"/>
      <c r="GZ642" s="849"/>
      <c r="HA642" s="849"/>
      <c r="HB642" s="849"/>
      <c r="HC642" s="849"/>
      <c r="HD642" s="849"/>
      <c r="HE642" s="849"/>
      <c r="HF642" s="849"/>
      <c r="HG642" s="849"/>
      <c r="HH642" s="849"/>
      <c r="HI642" s="849"/>
      <c r="HJ642" s="849"/>
      <c r="HK642" s="849"/>
      <c r="HL642" s="849"/>
      <c r="HM642" s="849"/>
      <c r="HN642" s="849"/>
      <c r="HO642" s="849"/>
      <c r="HP642" s="849"/>
      <c r="HQ642" s="849"/>
      <c r="HR642" s="849"/>
    </row>
    <row r="643" spans="1:226" s="850" customFormat="1" ht="15" customHeight="1">
      <c r="A643" s="1504"/>
      <c r="B643" s="1507"/>
      <c r="C643" s="1541"/>
      <c r="D643" s="1543"/>
      <c r="E643" s="855" t="s">
        <v>416</v>
      </c>
      <c r="F643" s="856">
        <f t="shared" si="36"/>
        <v>44897</v>
      </c>
      <c r="G643" s="856">
        <v>44897</v>
      </c>
      <c r="H643" s="856"/>
      <c r="I643" s="856"/>
      <c r="J643" s="857"/>
      <c r="K643" s="849"/>
    </row>
    <row r="644" spans="1:226" s="850" customFormat="1" ht="15" customHeight="1">
      <c r="A644" s="1504"/>
      <c r="B644" s="1507"/>
      <c r="C644" s="1541"/>
      <c r="D644" s="1543"/>
      <c r="E644" s="855" t="s">
        <v>233</v>
      </c>
      <c r="F644" s="856">
        <f t="shared" si="36"/>
        <v>20417</v>
      </c>
      <c r="G644" s="856"/>
      <c r="H644" s="856"/>
      <c r="I644" s="856">
        <v>20417</v>
      </c>
      <c r="J644" s="857"/>
      <c r="K644" s="849"/>
    </row>
    <row r="645" spans="1:226" s="850" customFormat="1" ht="15" customHeight="1">
      <c r="A645" s="1504"/>
      <c r="B645" s="1507"/>
      <c r="C645" s="1541"/>
      <c r="D645" s="1543"/>
      <c r="E645" s="855" t="s">
        <v>234</v>
      </c>
      <c r="F645" s="856">
        <f t="shared" si="36"/>
        <v>3808</v>
      </c>
      <c r="G645" s="856">
        <v>3808</v>
      </c>
      <c r="H645" s="856"/>
      <c r="I645" s="856"/>
      <c r="J645" s="857"/>
      <c r="K645" s="849"/>
    </row>
    <row r="646" spans="1:226" s="850" customFormat="1" ht="15" customHeight="1">
      <c r="A646" s="1504"/>
      <c r="B646" s="1507"/>
      <c r="C646" s="1541"/>
      <c r="D646" s="1543"/>
      <c r="E646" s="855" t="s">
        <v>235</v>
      </c>
      <c r="F646" s="856">
        <f t="shared" si="36"/>
        <v>30341</v>
      </c>
      <c r="G646" s="856"/>
      <c r="H646" s="856"/>
      <c r="I646" s="856">
        <v>30341</v>
      </c>
      <c r="J646" s="857"/>
      <c r="K646" s="849"/>
    </row>
    <row r="647" spans="1:226" s="850" customFormat="1" ht="15" customHeight="1">
      <c r="A647" s="1504"/>
      <c r="B647" s="1507"/>
      <c r="C647" s="1541"/>
      <c r="D647" s="1543"/>
      <c r="E647" s="855" t="s">
        <v>236</v>
      </c>
      <c r="F647" s="856">
        <f t="shared" si="36"/>
        <v>5659</v>
      </c>
      <c r="G647" s="856">
        <v>5659</v>
      </c>
      <c r="H647" s="856"/>
      <c r="I647" s="856"/>
      <c r="J647" s="857"/>
      <c r="K647" s="849"/>
    </row>
    <row r="648" spans="1:226" s="850" customFormat="1" ht="15" customHeight="1">
      <c r="A648" s="1504"/>
      <c r="B648" s="1507"/>
      <c r="C648" s="1541"/>
      <c r="D648" s="1543"/>
      <c r="E648" s="855" t="s">
        <v>420</v>
      </c>
      <c r="F648" s="856">
        <f t="shared" si="36"/>
        <v>843</v>
      </c>
      <c r="G648" s="856"/>
      <c r="H648" s="856"/>
      <c r="I648" s="856">
        <v>843</v>
      </c>
      <c r="J648" s="857"/>
      <c r="K648" s="849"/>
    </row>
    <row r="649" spans="1:226" s="850" customFormat="1" ht="15" customHeight="1">
      <c r="A649" s="1504"/>
      <c r="B649" s="1507"/>
      <c r="C649" s="1541"/>
      <c r="D649" s="1543"/>
      <c r="E649" s="855" t="s">
        <v>421</v>
      </c>
      <c r="F649" s="856">
        <f t="shared" si="36"/>
        <v>157</v>
      </c>
      <c r="G649" s="856">
        <v>157</v>
      </c>
      <c r="H649" s="856"/>
      <c r="I649" s="856"/>
      <c r="J649" s="857"/>
      <c r="K649" s="849"/>
    </row>
    <row r="650" spans="1:226" s="850" customFormat="1" ht="15" customHeight="1">
      <c r="A650" s="1504"/>
      <c r="B650" s="1507"/>
      <c r="C650" s="1541"/>
      <c r="D650" s="1543"/>
      <c r="E650" s="855" t="s">
        <v>237</v>
      </c>
      <c r="F650" s="856">
        <f t="shared" si="36"/>
        <v>25200</v>
      </c>
      <c r="G650" s="856"/>
      <c r="H650" s="856"/>
      <c r="I650" s="856">
        <v>25200</v>
      </c>
      <c r="J650" s="857"/>
      <c r="K650" s="849"/>
    </row>
    <row r="651" spans="1:226" s="850" customFormat="1" ht="15" customHeight="1">
      <c r="A651" s="1504"/>
      <c r="B651" s="1507"/>
      <c r="C651" s="1541"/>
      <c r="D651" s="1543"/>
      <c r="E651" s="855" t="s">
        <v>238</v>
      </c>
      <c r="F651" s="856">
        <f t="shared" si="36"/>
        <v>4700</v>
      </c>
      <c r="G651" s="856">
        <v>4700</v>
      </c>
      <c r="H651" s="856"/>
      <c r="I651" s="856"/>
      <c r="J651" s="857"/>
      <c r="K651" s="849"/>
    </row>
    <row r="652" spans="1:226" s="850" customFormat="1" ht="16.5" customHeight="1">
      <c r="A652" s="1505"/>
      <c r="B652" s="1508"/>
      <c r="C652" s="1517"/>
      <c r="D652" s="1544"/>
      <c r="E652" s="858" t="s">
        <v>977</v>
      </c>
      <c r="F652" s="852">
        <f>SUM(F653:F654)</f>
        <v>0</v>
      </c>
      <c r="G652" s="852">
        <f>SUM(G653:G654)</f>
        <v>0</v>
      </c>
      <c r="H652" s="852">
        <f>SUM(H653:H654)</f>
        <v>0</v>
      </c>
      <c r="I652" s="852">
        <f>SUM(I653:I654)</f>
        <v>0</v>
      </c>
      <c r="J652" s="853">
        <f>SUM(J653:J654)</f>
        <v>0</v>
      </c>
      <c r="K652" s="849"/>
    </row>
    <row r="653" spans="1:226" s="850" customFormat="1" ht="15" hidden="1" customHeight="1">
      <c r="A653" s="902"/>
      <c r="B653" s="903"/>
      <c r="C653" s="904"/>
      <c r="D653" s="905"/>
      <c r="E653" s="868" t="s">
        <v>273</v>
      </c>
      <c r="F653" s="869">
        <f>SUM(G653:J653)</f>
        <v>0</v>
      </c>
      <c r="G653" s="869"/>
      <c r="H653" s="869"/>
      <c r="I653" s="869"/>
      <c r="J653" s="870"/>
      <c r="K653" s="849"/>
    </row>
    <row r="654" spans="1:226" s="850" customFormat="1" ht="15" hidden="1" customHeight="1">
      <c r="A654" s="898"/>
      <c r="B654" s="899"/>
      <c r="C654" s="900"/>
      <c r="D654" s="901"/>
      <c r="E654" s="897">
        <v>6069</v>
      </c>
      <c r="F654" s="856">
        <f>SUM(G654:J654)</f>
        <v>0</v>
      </c>
      <c r="G654" s="856"/>
      <c r="H654" s="856"/>
      <c r="I654" s="856"/>
      <c r="J654" s="857"/>
      <c r="K654" s="849"/>
    </row>
    <row r="655" spans="1:226" s="850" customFormat="1" ht="24.95" customHeight="1">
      <c r="A655" s="1500" t="s">
        <v>998</v>
      </c>
      <c r="B655" s="1501" t="s">
        <v>1044</v>
      </c>
      <c r="C655" s="1495">
        <v>853</v>
      </c>
      <c r="D655" s="1502" t="s">
        <v>628</v>
      </c>
      <c r="E655" s="846" t="s">
        <v>976</v>
      </c>
      <c r="F655" s="847">
        <f>SUM(F656,F692)</f>
        <v>14926799</v>
      </c>
      <c r="G655" s="847">
        <f>SUM(G656,G692)</f>
        <v>2239020</v>
      </c>
      <c r="H655" s="847">
        <f>SUM(H656,H692)</f>
        <v>0</v>
      </c>
      <c r="I655" s="847">
        <f>SUM(I656,I692)</f>
        <v>12687779</v>
      </c>
      <c r="J655" s="848">
        <f>SUM(J656,J692)</f>
        <v>0</v>
      </c>
      <c r="K655" s="849"/>
    </row>
    <row r="656" spans="1:226" s="850" customFormat="1" ht="24.95" customHeight="1">
      <c r="A656" s="1500"/>
      <c r="B656" s="1501"/>
      <c r="C656" s="1495"/>
      <c r="D656" s="1502"/>
      <c r="E656" s="851" t="s">
        <v>990</v>
      </c>
      <c r="F656" s="852">
        <f>SUM(F657,F660,F671)</f>
        <v>14906799</v>
      </c>
      <c r="G656" s="852">
        <f>SUM(G657,G660,G671)</f>
        <v>2236020</v>
      </c>
      <c r="H656" s="852">
        <f>SUM(H657,H660,H671)</f>
        <v>0</v>
      </c>
      <c r="I656" s="852">
        <f>SUM(I657,I660,I671)</f>
        <v>12670779</v>
      </c>
      <c r="J656" s="853">
        <f>SUM(J657,J660,J671)</f>
        <v>0</v>
      </c>
      <c r="K656" s="849"/>
      <c r="L656" s="849"/>
      <c r="M656" s="849"/>
      <c r="N656" s="849"/>
      <c r="O656" s="849"/>
      <c r="P656" s="849"/>
      <c r="Q656" s="849"/>
      <c r="R656" s="849"/>
      <c r="S656" s="849"/>
      <c r="T656" s="849"/>
      <c r="U656" s="849"/>
      <c r="V656" s="849"/>
      <c r="W656" s="849"/>
      <c r="X656" s="849"/>
      <c r="Y656" s="849"/>
      <c r="Z656" s="849"/>
      <c r="AA656" s="849"/>
      <c r="AB656" s="849"/>
      <c r="AC656" s="849"/>
      <c r="AD656" s="849"/>
      <c r="AE656" s="849"/>
      <c r="AF656" s="849"/>
      <c r="AG656" s="849"/>
      <c r="AH656" s="849"/>
      <c r="AI656" s="849"/>
      <c r="AJ656" s="849"/>
      <c r="AK656" s="849"/>
      <c r="AL656" s="849"/>
      <c r="AM656" s="849"/>
      <c r="AN656" s="849"/>
      <c r="AO656" s="849"/>
      <c r="AP656" s="849"/>
      <c r="AQ656" s="849"/>
      <c r="AR656" s="849"/>
      <c r="AS656" s="849"/>
      <c r="AT656" s="849"/>
      <c r="AU656" s="849"/>
      <c r="AV656" s="849"/>
      <c r="AW656" s="849"/>
      <c r="AX656" s="849"/>
      <c r="AY656" s="849"/>
      <c r="AZ656" s="849"/>
      <c r="BA656" s="849"/>
      <c r="BB656" s="849"/>
      <c r="BC656" s="849"/>
      <c r="BD656" s="849"/>
      <c r="BE656" s="849"/>
      <c r="BF656" s="849"/>
      <c r="BG656" s="849"/>
      <c r="BH656" s="849"/>
      <c r="BI656" s="849"/>
      <c r="BJ656" s="849"/>
      <c r="BK656" s="849"/>
      <c r="BL656" s="849"/>
      <c r="BM656" s="849"/>
      <c r="BN656" s="849"/>
      <c r="BO656" s="849"/>
      <c r="BP656" s="849"/>
      <c r="BQ656" s="849"/>
      <c r="BR656" s="849"/>
      <c r="BS656" s="849"/>
      <c r="BT656" s="849"/>
      <c r="BU656" s="849"/>
      <c r="BV656" s="849"/>
      <c r="BW656" s="849"/>
      <c r="BX656" s="849"/>
      <c r="BY656" s="849"/>
      <c r="BZ656" s="849"/>
      <c r="CA656" s="849"/>
      <c r="CB656" s="849"/>
      <c r="CC656" s="849"/>
      <c r="CD656" s="849"/>
      <c r="CE656" s="849"/>
      <c r="CF656" s="849"/>
      <c r="CG656" s="849"/>
      <c r="CH656" s="849"/>
      <c r="CI656" s="849"/>
      <c r="CJ656" s="849"/>
      <c r="CK656" s="849"/>
      <c r="CL656" s="849"/>
      <c r="CM656" s="849"/>
      <c r="CN656" s="849"/>
      <c r="CO656" s="849"/>
      <c r="CP656" s="849"/>
      <c r="CQ656" s="849"/>
      <c r="CR656" s="849"/>
      <c r="CS656" s="849"/>
      <c r="CT656" s="849"/>
      <c r="CU656" s="849"/>
      <c r="CV656" s="849"/>
      <c r="CW656" s="849"/>
      <c r="CX656" s="849"/>
      <c r="CY656" s="849"/>
      <c r="CZ656" s="849"/>
      <c r="DA656" s="849"/>
      <c r="DB656" s="849"/>
      <c r="DC656" s="849"/>
      <c r="DD656" s="849"/>
      <c r="DE656" s="849"/>
      <c r="DF656" s="849"/>
      <c r="DG656" s="849"/>
      <c r="DH656" s="849"/>
      <c r="DI656" s="849"/>
      <c r="DJ656" s="849"/>
      <c r="DK656" s="849"/>
      <c r="DL656" s="849"/>
      <c r="DM656" s="849"/>
      <c r="DN656" s="849"/>
      <c r="DO656" s="849"/>
      <c r="DP656" s="849"/>
      <c r="DQ656" s="849"/>
      <c r="DR656" s="849"/>
      <c r="DS656" s="849"/>
      <c r="DT656" s="849"/>
      <c r="DU656" s="849"/>
      <c r="DV656" s="849"/>
      <c r="DW656" s="849"/>
      <c r="DX656" s="849"/>
      <c r="DY656" s="849"/>
      <c r="DZ656" s="849"/>
      <c r="EA656" s="849"/>
      <c r="EB656" s="849"/>
      <c r="EC656" s="849"/>
      <c r="ED656" s="849"/>
      <c r="EE656" s="849"/>
      <c r="EF656" s="849"/>
      <c r="EG656" s="849"/>
      <c r="EH656" s="849"/>
      <c r="EI656" s="849"/>
      <c r="EJ656" s="849"/>
      <c r="EK656" s="849"/>
      <c r="EL656" s="849"/>
      <c r="EM656" s="849"/>
      <c r="EN656" s="849"/>
      <c r="EO656" s="849"/>
      <c r="EP656" s="849"/>
      <c r="EQ656" s="849"/>
      <c r="ER656" s="849"/>
      <c r="ES656" s="849"/>
      <c r="ET656" s="849"/>
      <c r="EU656" s="849"/>
      <c r="EV656" s="849"/>
      <c r="EW656" s="849"/>
      <c r="EX656" s="849"/>
      <c r="EY656" s="849"/>
      <c r="EZ656" s="849"/>
      <c r="FA656" s="849"/>
      <c r="FB656" s="849"/>
      <c r="FC656" s="849"/>
      <c r="FD656" s="849"/>
      <c r="FE656" s="849"/>
      <c r="FF656" s="849"/>
      <c r="FG656" s="849"/>
      <c r="FH656" s="849"/>
      <c r="FI656" s="849"/>
      <c r="FJ656" s="849"/>
      <c r="FK656" s="849"/>
      <c r="FL656" s="849"/>
      <c r="FM656" s="849"/>
      <c r="FN656" s="849"/>
      <c r="FO656" s="849"/>
      <c r="FP656" s="849"/>
      <c r="FQ656" s="849"/>
      <c r="FR656" s="849"/>
      <c r="FS656" s="849"/>
      <c r="FT656" s="849"/>
      <c r="FU656" s="849"/>
      <c r="FV656" s="849"/>
      <c r="FW656" s="849"/>
      <c r="FX656" s="849"/>
      <c r="FY656" s="849"/>
      <c r="FZ656" s="849"/>
      <c r="GA656" s="849"/>
      <c r="GB656" s="849"/>
      <c r="GC656" s="849"/>
      <c r="GD656" s="849"/>
      <c r="GE656" s="849"/>
      <c r="GF656" s="849"/>
      <c r="GG656" s="849"/>
      <c r="GH656" s="849"/>
      <c r="GI656" s="849"/>
      <c r="GJ656" s="849"/>
      <c r="GK656" s="849"/>
      <c r="GL656" s="849"/>
      <c r="GM656" s="849"/>
      <c r="GN656" s="849"/>
      <c r="GO656" s="849"/>
      <c r="GP656" s="849"/>
      <c r="GQ656" s="849"/>
      <c r="GR656" s="849"/>
      <c r="GS656" s="849"/>
      <c r="GT656" s="849"/>
      <c r="GU656" s="849"/>
      <c r="GV656" s="849"/>
      <c r="GW656" s="849"/>
      <c r="GX656" s="849"/>
      <c r="GY656" s="849"/>
      <c r="GZ656" s="849"/>
      <c r="HA656" s="849"/>
      <c r="HB656" s="849"/>
      <c r="HC656" s="849"/>
      <c r="HD656" s="849"/>
      <c r="HE656" s="849"/>
      <c r="HF656" s="849"/>
      <c r="HG656" s="849"/>
      <c r="HH656" s="849"/>
      <c r="HI656" s="849"/>
      <c r="HJ656" s="849"/>
      <c r="HK656" s="849"/>
      <c r="HL656" s="849"/>
      <c r="HM656" s="849"/>
      <c r="HN656" s="849"/>
      <c r="HO656" s="849"/>
      <c r="HP656" s="849"/>
      <c r="HQ656" s="849"/>
      <c r="HR656" s="849"/>
    </row>
    <row r="657" spans="1:11" s="850" customFormat="1" ht="24.95" hidden="1" customHeight="1">
      <c r="A657" s="1500"/>
      <c r="B657" s="1501"/>
      <c r="C657" s="1495"/>
      <c r="D657" s="1502"/>
      <c r="E657" s="860" t="s">
        <v>991</v>
      </c>
      <c r="F657" s="861">
        <f>SUM(F658:F659)</f>
        <v>0</v>
      </c>
      <c r="G657" s="861">
        <f>SUM(G658:G659)</f>
        <v>0</v>
      </c>
      <c r="H657" s="861">
        <f>SUM(H658:H659)</f>
        <v>0</v>
      </c>
      <c r="I657" s="861">
        <f>SUM(I658:I659)</f>
        <v>0</v>
      </c>
      <c r="J657" s="862">
        <f>SUM(J658:J659)</f>
        <v>0</v>
      </c>
      <c r="K657" s="849"/>
    </row>
    <row r="658" spans="1:11" s="850" customFormat="1" ht="15" hidden="1" customHeight="1">
      <c r="A658" s="1500"/>
      <c r="B658" s="1501"/>
      <c r="C658" s="1495"/>
      <c r="D658" s="1502"/>
      <c r="E658" s="855"/>
      <c r="F658" s="856">
        <f>SUM(G658:J658)</f>
        <v>0</v>
      </c>
      <c r="G658" s="856"/>
      <c r="H658" s="856"/>
      <c r="I658" s="856"/>
      <c r="J658" s="857"/>
      <c r="K658" s="849"/>
    </row>
    <row r="659" spans="1:11" s="850" customFormat="1" ht="15" hidden="1" customHeight="1">
      <c r="A659" s="1500"/>
      <c r="B659" s="1501"/>
      <c r="C659" s="1495"/>
      <c r="D659" s="1502"/>
      <c r="E659" s="855"/>
      <c r="F659" s="856">
        <f>SUM(G659:J659)</f>
        <v>0</v>
      </c>
      <c r="G659" s="856"/>
      <c r="H659" s="856"/>
      <c r="I659" s="856"/>
      <c r="J659" s="857"/>
      <c r="K659" s="849"/>
    </row>
    <row r="660" spans="1:11" s="850" customFormat="1" ht="24.95" customHeight="1">
      <c r="A660" s="1500"/>
      <c r="B660" s="1501"/>
      <c r="C660" s="1495"/>
      <c r="D660" s="1502"/>
      <c r="E660" s="860" t="s">
        <v>981</v>
      </c>
      <c r="F660" s="861">
        <f>SUM(F661:F670)</f>
        <v>12548198</v>
      </c>
      <c r="G660" s="861">
        <f>SUM(G661:G670)</f>
        <v>1882230</v>
      </c>
      <c r="H660" s="861">
        <f>SUM(H661:H670)</f>
        <v>0</v>
      </c>
      <c r="I660" s="861">
        <f>SUM(I661:I670)</f>
        <v>10665968</v>
      </c>
      <c r="J660" s="862">
        <f>SUM(J661:J670)</f>
        <v>0</v>
      </c>
      <c r="K660" s="849"/>
    </row>
    <row r="661" spans="1:11" s="850" customFormat="1" ht="15" customHeight="1">
      <c r="A661" s="1500"/>
      <c r="B661" s="1501"/>
      <c r="C661" s="1495"/>
      <c r="D661" s="1502"/>
      <c r="E661" s="855" t="s">
        <v>214</v>
      </c>
      <c r="F661" s="856">
        <f t="shared" ref="F661:F670" si="37">SUM(G661:J661)</f>
        <v>8810335</v>
      </c>
      <c r="G661" s="856"/>
      <c r="H661" s="856"/>
      <c r="I661" s="856">
        <v>8810335</v>
      </c>
      <c r="J661" s="857"/>
      <c r="K661" s="849"/>
    </row>
    <row r="662" spans="1:11" s="850" customFormat="1" ht="15" customHeight="1">
      <c r="A662" s="1500"/>
      <c r="B662" s="1501"/>
      <c r="C662" s="1495"/>
      <c r="D662" s="1502"/>
      <c r="E662" s="855" t="s">
        <v>215</v>
      </c>
      <c r="F662" s="856">
        <f t="shared" si="37"/>
        <v>1554765</v>
      </c>
      <c r="G662" s="856">
        <v>1554765</v>
      </c>
      <c r="H662" s="856"/>
      <c r="I662" s="856"/>
      <c r="J662" s="857"/>
      <c r="K662" s="849"/>
    </row>
    <row r="663" spans="1:11" s="850" customFormat="1" ht="15" customHeight="1">
      <c r="A663" s="1500"/>
      <c r="B663" s="1501"/>
      <c r="C663" s="1495"/>
      <c r="D663" s="1502"/>
      <c r="E663" s="855" t="s">
        <v>216</v>
      </c>
      <c r="F663" s="856">
        <f t="shared" si="37"/>
        <v>32579</v>
      </c>
      <c r="G663" s="856"/>
      <c r="H663" s="856"/>
      <c r="I663" s="856">
        <v>32579</v>
      </c>
      <c r="J663" s="857"/>
      <c r="K663" s="849"/>
    </row>
    <row r="664" spans="1:11" s="850" customFormat="1" ht="15" customHeight="1">
      <c r="A664" s="1500"/>
      <c r="B664" s="1501"/>
      <c r="C664" s="1495"/>
      <c r="D664" s="1502"/>
      <c r="E664" s="855" t="s">
        <v>217</v>
      </c>
      <c r="F664" s="856">
        <f t="shared" si="37"/>
        <v>5749</v>
      </c>
      <c r="G664" s="856">
        <v>5749</v>
      </c>
      <c r="H664" s="856"/>
      <c r="I664" s="856"/>
      <c r="J664" s="857"/>
      <c r="K664" s="849"/>
    </row>
    <row r="665" spans="1:11" s="850" customFormat="1" ht="15" customHeight="1">
      <c r="A665" s="1500"/>
      <c r="B665" s="1501"/>
      <c r="C665" s="1495"/>
      <c r="D665" s="1502"/>
      <c r="E665" s="855" t="s">
        <v>218</v>
      </c>
      <c r="F665" s="856">
        <f t="shared" si="37"/>
        <v>1512138</v>
      </c>
      <c r="G665" s="856"/>
      <c r="H665" s="856"/>
      <c r="I665" s="856">
        <v>1512138</v>
      </c>
      <c r="J665" s="857"/>
      <c r="K665" s="849"/>
    </row>
    <row r="666" spans="1:11" s="850" customFormat="1" ht="15" customHeight="1">
      <c r="A666" s="1500"/>
      <c r="B666" s="1501"/>
      <c r="C666" s="1495"/>
      <c r="D666" s="1502"/>
      <c r="E666" s="855" t="s">
        <v>219</v>
      </c>
      <c r="F666" s="856">
        <f t="shared" si="37"/>
        <v>266848</v>
      </c>
      <c r="G666" s="856">
        <v>266848</v>
      </c>
      <c r="H666" s="856"/>
      <c r="I666" s="856"/>
      <c r="J666" s="857"/>
      <c r="K666" s="849"/>
    </row>
    <row r="667" spans="1:11" s="850" customFormat="1" ht="15" customHeight="1">
      <c r="A667" s="1500"/>
      <c r="B667" s="1501"/>
      <c r="C667" s="1495"/>
      <c r="D667" s="1502"/>
      <c r="E667" s="855" t="s">
        <v>220</v>
      </c>
      <c r="F667" s="856">
        <f t="shared" si="37"/>
        <v>216651</v>
      </c>
      <c r="G667" s="856"/>
      <c r="H667" s="856"/>
      <c r="I667" s="856">
        <v>216651</v>
      </c>
      <c r="J667" s="857"/>
      <c r="K667" s="849"/>
    </row>
    <row r="668" spans="1:11" s="850" customFormat="1" ht="15" customHeight="1">
      <c r="A668" s="1500"/>
      <c r="B668" s="1501"/>
      <c r="C668" s="1495"/>
      <c r="D668" s="1502"/>
      <c r="E668" s="855" t="s">
        <v>221</v>
      </c>
      <c r="F668" s="856">
        <f t="shared" si="37"/>
        <v>38233</v>
      </c>
      <c r="G668" s="856">
        <v>38233</v>
      </c>
      <c r="H668" s="856"/>
      <c r="I668" s="856"/>
      <c r="J668" s="857"/>
      <c r="K668" s="849"/>
    </row>
    <row r="669" spans="1:11" s="850" customFormat="1" ht="15" customHeight="1">
      <c r="A669" s="1500"/>
      <c r="B669" s="1501"/>
      <c r="C669" s="1495"/>
      <c r="D669" s="1502"/>
      <c r="E669" s="855" t="s">
        <v>222</v>
      </c>
      <c r="F669" s="856">
        <f t="shared" si="37"/>
        <v>94265</v>
      </c>
      <c r="G669" s="856"/>
      <c r="H669" s="856"/>
      <c r="I669" s="856">
        <v>94265</v>
      </c>
      <c r="J669" s="857"/>
      <c r="K669" s="849"/>
    </row>
    <row r="670" spans="1:11" s="850" customFormat="1" ht="15" customHeight="1">
      <c r="A670" s="1500"/>
      <c r="B670" s="1501"/>
      <c r="C670" s="1495"/>
      <c r="D670" s="1502"/>
      <c r="E670" s="855" t="s">
        <v>223</v>
      </c>
      <c r="F670" s="856">
        <f t="shared" si="37"/>
        <v>16635</v>
      </c>
      <c r="G670" s="856">
        <v>16635</v>
      </c>
      <c r="H670" s="856"/>
      <c r="I670" s="856"/>
      <c r="J670" s="857"/>
      <c r="K670" s="849"/>
    </row>
    <row r="671" spans="1:11" s="850" customFormat="1" ht="24.95" customHeight="1">
      <c r="A671" s="1500"/>
      <c r="B671" s="1501"/>
      <c r="C671" s="1495"/>
      <c r="D671" s="1502"/>
      <c r="E671" s="860" t="s">
        <v>982</v>
      </c>
      <c r="F671" s="861">
        <f>SUM(F672:F691)</f>
        <v>2358601</v>
      </c>
      <c r="G671" s="861">
        <f>SUM(G672:G691)</f>
        <v>353790</v>
      </c>
      <c r="H671" s="861">
        <f>SUM(H672:H691)</f>
        <v>0</v>
      </c>
      <c r="I671" s="861">
        <f>SUM(I672:I691)</f>
        <v>2004811</v>
      </c>
      <c r="J671" s="862">
        <f>SUM(J672:J691)</f>
        <v>0</v>
      </c>
      <c r="K671" s="849"/>
    </row>
    <row r="672" spans="1:11" s="850" customFormat="1" ht="15" customHeight="1">
      <c r="A672" s="1500"/>
      <c r="B672" s="1501"/>
      <c r="C672" s="1495"/>
      <c r="D672" s="1502"/>
      <c r="E672" s="855" t="s">
        <v>389</v>
      </c>
      <c r="F672" s="856">
        <f t="shared" ref="F672:F691" si="38">SUM(G672:J672)</f>
        <v>7650</v>
      </c>
      <c r="G672" s="856"/>
      <c r="H672" s="856"/>
      <c r="I672" s="856">
        <v>7650</v>
      </c>
      <c r="J672" s="857"/>
      <c r="K672" s="849"/>
    </row>
    <row r="673" spans="1:226" s="850" customFormat="1" ht="15" customHeight="1">
      <c r="A673" s="1500"/>
      <c r="B673" s="1501"/>
      <c r="C673" s="1495"/>
      <c r="D673" s="1502"/>
      <c r="E673" s="855" t="s">
        <v>390</v>
      </c>
      <c r="F673" s="856">
        <f t="shared" si="38"/>
        <v>1350</v>
      </c>
      <c r="G673" s="856">
        <v>1350</v>
      </c>
      <c r="H673" s="856"/>
      <c r="I673" s="856"/>
      <c r="J673" s="857"/>
      <c r="K673" s="849"/>
    </row>
    <row r="674" spans="1:226" s="850" customFormat="1" ht="15" customHeight="1">
      <c r="A674" s="1500"/>
      <c r="B674" s="1501"/>
      <c r="C674" s="1495"/>
      <c r="D674" s="1502"/>
      <c r="E674" s="855" t="s">
        <v>227</v>
      </c>
      <c r="F674" s="856">
        <f t="shared" si="38"/>
        <v>214370</v>
      </c>
      <c r="G674" s="856"/>
      <c r="H674" s="856"/>
      <c r="I674" s="856">
        <v>214370</v>
      </c>
      <c r="J674" s="857"/>
      <c r="K674" s="849"/>
    </row>
    <row r="675" spans="1:226" s="850" customFormat="1" ht="15" customHeight="1">
      <c r="A675" s="1500"/>
      <c r="B675" s="1501"/>
      <c r="C675" s="1495"/>
      <c r="D675" s="1502"/>
      <c r="E675" s="855" t="s">
        <v>228</v>
      </c>
      <c r="F675" s="856">
        <f t="shared" si="38"/>
        <v>37830</v>
      </c>
      <c r="G675" s="856">
        <v>37830</v>
      </c>
      <c r="H675" s="856"/>
      <c r="I675" s="856"/>
      <c r="J675" s="857"/>
      <c r="K675" s="849"/>
    </row>
    <row r="676" spans="1:226" s="850" customFormat="1" ht="15" customHeight="1">
      <c r="A676" s="1500"/>
      <c r="B676" s="1501"/>
      <c r="C676" s="1495"/>
      <c r="D676" s="1502"/>
      <c r="E676" s="855" t="s">
        <v>398</v>
      </c>
      <c r="F676" s="856">
        <f t="shared" si="38"/>
        <v>76100</v>
      </c>
      <c r="G676" s="856"/>
      <c r="H676" s="856"/>
      <c r="I676" s="856">
        <v>76100</v>
      </c>
      <c r="J676" s="857"/>
      <c r="K676" s="849"/>
    </row>
    <row r="677" spans="1:226" s="850" customFormat="1" ht="15" customHeight="1">
      <c r="A677" s="1500"/>
      <c r="B677" s="1501"/>
      <c r="C677" s="1495"/>
      <c r="D677" s="1502"/>
      <c r="E677" s="855" t="s">
        <v>399</v>
      </c>
      <c r="F677" s="856">
        <f t="shared" si="38"/>
        <v>13430</v>
      </c>
      <c r="G677" s="856">
        <v>13430</v>
      </c>
      <c r="H677" s="856"/>
      <c r="I677" s="856"/>
      <c r="J677" s="857"/>
      <c r="K677" s="849"/>
    </row>
    <row r="678" spans="1:226" s="850" customFormat="1" ht="15" customHeight="1">
      <c r="A678" s="1500"/>
      <c r="B678" s="1501"/>
      <c r="C678" s="1495"/>
      <c r="D678" s="1502"/>
      <c r="E678" s="855" t="s">
        <v>400</v>
      </c>
      <c r="F678" s="856">
        <f t="shared" si="38"/>
        <v>3060</v>
      </c>
      <c r="G678" s="856"/>
      <c r="H678" s="856"/>
      <c r="I678" s="856">
        <v>3060</v>
      </c>
      <c r="J678" s="857"/>
      <c r="K678" s="849"/>
    </row>
    <row r="679" spans="1:226" s="850" customFormat="1" ht="15" customHeight="1">
      <c r="A679" s="1500"/>
      <c r="B679" s="1501"/>
      <c r="C679" s="1495"/>
      <c r="D679" s="1502"/>
      <c r="E679" s="855" t="s">
        <v>401</v>
      </c>
      <c r="F679" s="856">
        <f t="shared" si="38"/>
        <v>540</v>
      </c>
      <c r="G679" s="856">
        <v>540</v>
      </c>
      <c r="H679" s="856"/>
      <c r="I679" s="856"/>
      <c r="J679" s="857"/>
      <c r="K679" s="849"/>
    </row>
    <row r="680" spans="1:226" s="850" customFormat="1" ht="15" customHeight="1">
      <c r="A680" s="1500"/>
      <c r="B680" s="1501"/>
      <c r="C680" s="1495"/>
      <c r="D680" s="1502"/>
      <c r="E680" s="855" t="s">
        <v>231</v>
      </c>
      <c r="F680" s="856">
        <f t="shared" si="38"/>
        <v>287768</v>
      </c>
      <c r="G680" s="856"/>
      <c r="H680" s="856"/>
      <c r="I680" s="856">
        <v>287768</v>
      </c>
      <c r="J680" s="857"/>
      <c r="K680" s="849"/>
    </row>
    <row r="681" spans="1:226" s="850" customFormat="1" ht="15" customHeight="1">
      <c r="A681" s="1500"/>
      <c r="B681" s="1501"/>
      <c r="C681" s="1495"/>
      <c r="D681" s="1502"/>
      <c r="E681" s="855" t="s">
        <v>232</v>
      </c>
      <c r="F681" s="856">
        <f t="shared" si="38"/>
        <v>50782</v>
      </c>
      <c r="G681" s="856">
        <v>50782</v>
      </c>
      <c r="H681" s="856"/>
      <c r="I681" s="856"/>
      <c r="J681" s="857"/>
      <c r="K681" s="849"/>
    </row>
    <row r="682" spans="1:226" s="850" customFormat="1" ht="15" customHeight="1">
      <c r="A682" s="1500"/>
      <c r="B682" s="1501"/>
      <c r="C682" s="1495"/>
      <c r="D682" s="1502"/>
      <c r="E682" s="855" t="s">
        <v>270</v>
      </c>
      <c r="F682" s="856">
        <f t="shared" si="38"/>
        <v>58225</v>
      </c>
      <c r="G682" s="856"/>
      <c r="H682" s="856"/>
      <c r="I682" s="856">
        <v>58225</v>
      </c>
      <c r="J682" s="857"/>
      <c r="K682" s="849"/>
    </row>
    <row r="683" spans="1:226" s="850" customFormat="1" ht="15" customHeight="1">
      <c r="A683" s="1500"/>
      <c r="B683" s="1501"/>
      <c r="C683" s="1495"/>
      <c r="D683" s="1502"/>
      <c r="E683" s="855" t="s">
        <v>271</v>
      </c>
      <c r="F683" s="856">
        <f t="shared" si="38"/>
        <v>10275</v>
      </c>
      <c r="G683" s="856">
        <v>10275</v>
      </c>
      <c r="H683" s="856"/>
      <c r="I683" s="856"/>
      <c r="J683" s="857"/>
      <c r="K683" s="849"/>
    </row>
    <row r="684" spans="1:226" s="850" customFormat="1" ht="15" customHeight="1">
      <c r="A684" s="1500"/>
      <c r="B684" s="1501"/>
      <c r="C684" s="1495"/>
      <c r="D684" s="1502"/>
      <c r="E684" s="855" t="s">
        <v>415</v>
      </c>
      <c r="F684" s="856">
        <f t="shared" si="38"/>
        <v>1089620</v>
      </c>
      <c r="G684" s="856"/>
      <c r="H684" s="856"/>
      <c r="I684" s="856">
        <v>1089620</v>
      </c>
      <c r="J684" s="857"/>
      <c r="K684" s="849"/>
      <c r="L684" s="849"/>
      <c r="M684" s="849"/>
      <c r="N684" s="849"/>
      <c r="O684" s="849"/>
      <c r="P684" s="849"/>
      <c r="Q684" s="849"/>
      <c r="R684" s="849"/>
      <c r="S684" s="849"/>
      <c r="T684" s="849"/>
      <c r="U684" s="849"/>
      <c r="V684" s="849"/>
      <c r="W684" s="849"/>
      <c r="X684" s="849"/>
      <c r="Y684" s="849"/>
      <c r="Z684" s="849"/>
      <c r="AA684" s="849"/>
      <c r="AB684" s="849"/>
      <c r="AC684" s="849"/>
      <c r="AD684" s="849"/>
      <c r="AE684" s="849"/>
      <c r="AF684" s="849"/>
      <c r="AG684" s="849"/>
      <c r="AH684" s="849"/>
      <c r="AI684" s="849"/>
      <c r="AJ684" s="849"/>
      <c r="AK684" s="849"/>
      <c r="AL684" s="849"/>
      <c r="AM684" s="849"/>
      <c r="AN684" s="849"/>
      <c r="AO684" s="849"/>
      <c r="AP684" s="849"/>
      <c r="AQ684" s="849"/>
      <c r="AR684" s="849"/>
      <c r="AS684" s="849"/>
      <c r="AT684" s="849"/>
      <c r="AU684" s="849"/>
      <c r="AV684" s="849"/>
      <c r="AW684" s="849"/>
      <c r="AX684" s="849"/>
      <c r="AY684" s="849"/>
      <c r="AZ684" s="849"/>
      <c r="BA684" s="849"/>
      <c r="BB684" s="849"/>
      <c r="BC684" s="849"/>
      <c r="BD684" s="849"/>
      <c r="BE684" s="849"/>
      <c r="BF684" s="849"/>
      <c r="BG684" s="849"/>
      <c r="BH684" s="849"/>
      <c r="BI684" s="849"/>
      <c r="BJ684" s="849"/>
      <c r="BK684" s="849"/>
      <c r="BL684" s="849"/>
      <c r="BM684" s="849"/>
      <c r="BN684" s="849"/>
      <c r="BO684" s="849"/>
      <c r="BP684" s="849"/>
      <c r="BQ684" s="849"/>
      <c r="BR684" s="849"/>
      <c r="BS684" s="849"/>
      <c r="BT684" s="849"/>
      <c r="BU684" s="849"/>
      <c r="BV684" s="849"/>
      <c r="BW684" s="849"/>
      <c r="BX684" s="849"/>
      <c r="BY684" s="849"/>
      <c r="BZ684" s="849"/>
      <c r="CA684" s="849"/>
      <c r="CB684" s="849"/>
      <c r="CC684" s="849"/>
      <c r="CD684" s="849"/>
      <c r="CE684" s="849"/>
      <c r="CF684" s="849"/>
      <c r="CG684" s="849"/>
      <c r="CH684" s="849"/>
      <c r="CI684" s="849"/>
      <c r="CJ684" s="849"/>
      <c r="CK684" s="849"/>
      <c r="CL684" s="849"/>
      <c r="CM684" s="849"/>
      <c r="CN684" s="849"/>
      <c r="CO684" s="849"/>
      <c r="CP684" s="849"/>
      <c r="CQ684" s="849"/>
      <c r="CR684" s="849"/>
      <c r="CS684" s="849"/>
      <c r="CT684" s="849"/>
      <c r="CU684" s="849"/>
      <c r="CV684" s="849"/>
      <c r="CW684" s="849"/>
      <c r="CX684" s="849"/>
      <c r="CY684" s="849"/>
      <c r="CZ684" s="849"/>
      <c r="DA684" s="849"/>
      <c r="DB684" s="849"/>
      <c r="DC684" s="849"/>
      <c r="DD684" s="849"/>
      <c r="DE684" s="849"/>
      <c r="DF684" s="849"/>
      <c r="DG684" s="849"/>
      <c r="DH684" s="849"/>
      <c r="DI684" s="849"/>
      <c r="DJ684" s="849"/>
      <c r="DK684" s="849"/>
      <c r="DL684" s="849"/>
      <c r="DM684" s="849"/>
      <c r="DN684" s="849"/>
      <c r="DO684" s="849"/>
      <c r="DP684" s="849"/>
      <c r="DQ684" s="849"/>
      <c r="DR684" s="849"/>
      <c r="DS684" s="849"/>
      <c r="DT684" s="849"/>
      <c r="DU684" s="849"/>
      <c r="DV684" s="849"/>
      <c r="DW684" s="849"/>
      <c r="DX684" s="849"/>
      <c r="DY684" s="849"/>
      <c r="DZ684" s="849"/>
      <c r="EA684" s="849"/>
      <c r="EB684" s="849"/>
      <c r="EC684" s="849"/>
      <c r="ED684" s="849"/>
      <c r="EE684" s="849"/>
      <c r="EF684" s="849"/>
      <c r="EG684" s="849"/>
      <c r="EH684" s="849"/>
      <c r="EI684" s="849"/>
      <c r="EJ684" s="849"/>
      <c r="EK684" s="849"/>
      <c r="EL684" s="849"/>
      <c r="EM684" s="849"/>
      <c r="EN684" s="849"/>
      <c r="EO684" s="849"/>
      <c r="EP684" s="849"/>
      <c r="EQ684" s="849"/>
      <c r="ER684" s="849"/>
      <c r="ES684" s="849"/>
      <c r="ET684" s="849"/>
      <c r="EU684" s="849"/>
      <c r="EV684" s="849"/>
      <c r="EW684" s="849"/>
      <c r="EX684" s="849"/>
      <c r="EY684" s="849"/>
      <c r="EZ684" s="849"/>
      <c r="FA684" s="849"/>
      <c r="FB684" s="849"/>
      <c r="FC684" s="849"/>
      <c r="FD684" s="849"/>
      <c r="FE684" s="849"/>
      <c r="FF684" s="849"/>
      <c r="FG684" s="849"/>
      <c r="FH684" s="849"/>
      <c r="FI684" s="849"/>
      <c r="FJ684" s="849"/>
      <c r="FK684" s="849"/>
      <c r="FL684" s="849"/>
      <c r="FM684" s="849"/>
      <c r="FN684" s="849"/>
      <c r="FO684" s="849"/>
      <c r="FP684" s="849"/>
      <c r="FQ684" s="849"/>
      <c r="FR684" s="849"/>
      <c r="FS684" s="849"/>
      <c r="FT684" s="849"/>
      <c r="FU684" s="849"/>
      <c r="FV684" s="849"/>
      <c r="FW684" s="849"/>
      <c r="FX684" s="849"/>
      <c r="FY684" s="849"/>
      <c r="FZ684" s="849"/>
      <c r="GA684" s="849"/>
      <c r="GB684" s="849"/>
      <c r="GC684" s="849"/>
      <c r="GD684" s="849"/>
      <c r="GE684" s="849"/>
      <c r="GF684" s="849"/>
      <c r="GG684" s="849"/>
      <c r="GH684" s="849"/>
      <c r="GI684" s="849"/>
      <c r="GJ684" s="849"/>
      <c r="GK684" s="849"/>
      <c r="GL684" s="849"/>
      <c r="GM684" s="849"/>
      <c r="GN684" s="849"/>
      <c r="GO684" s="849"/>
      <c r="GP684" s="849"/>
      <c r="GQ684" s="849"/>
      <c r="GR684" s="849"/>
      <c r="GS684" s="849"/>
      <c r="GT684" s="849"/>
      <c r="GU684" s="849"/>
      <c r="GV684" s="849"/>
      <c r="GW684" s="849"/>
      <c r="GX684" s="849"/>
      <c r="GY684" s="849"/>
      <c r="GZ684" s="849"/>
      <c r="HA684" s="849"/>
      <c r="HB684" s="849"/>
      <c r="HC684" s="849"/>
      <c r="HD684" s="849"/>
      <c r="HE684" s="849"/>
      <c r="HF684" s="849"/>
      <c r="HG684" s="849"/>
      <c r="HH684" s="849"/>
      <c r="HI684" s="849"/>
      <c r="HJ684" s="849"/>
      <c r="HK684" s="849"/>
      <c r="HL684" s="849"/>
      <c r="HM684" s="849"/>
      <c r="HN684" s="849"/>
      <c r="HO684" s="849"/>
      <c r="HP684" s="849"/>
      <c r="HQ684" s="849"/>
      <c r="HR684" s="849"/>
    </row>
    <row r="685" spans="1:226" s="850" customFormat="1" ht="15" customHeight="1">
      <c r="A685" s="1500"/>
      <c r="B685" s="1501"/>
      <c r="C685" s="1495"/>
      <c r="D685" s="1502"/>
      <c r="E685" s="855" t="s">
        <v>416</v>
      </c>
      <c r="F685" s="856">
        <f t="shared" si="38"/>
        <v>192286</v>
      </c>
      <c r="G685" s="856">
        <v>192286</v>
      </c>
      <c r="H685" s="856"/>
      <c r="I685" s="856"/>
      <c r="J685" s="857"/>
      <c r="K685" s="849"/>
    </row>
    <row r="686" spans="1:226" s="850" customFormat="1" ht="15" customHeight="1">
      <c r="A686" s="1500"/>
      <c r="B686" s="1501"/>
      <c r="C686" s="1495"/>
      <c r="D686" s="1502"/>
      <c r="E686" s="855" t="s">
        <v>233</v>
      </c>
      <c r="F686" s="856">
        <f t="shared" si="38"/>
        <v>68829</v>
      </c>
      <c r="G686" s="856"/>
      <c r="H686" s="856"/>
      <c r="I686" s="856">
        <v>68829</v>
      </c>
      <c r="J686" s="857"/>
      <c r="K686" s="849"/>
    </row>
    <row r="687" spans="1:226" s="850" customFormat="1" ht="15" customHeight="1">
      <c r="A687" s="1500"/>
      <c r="B687" s="1501"/>
      <c r="C687" s="1495"/>
      <c r="D687" s="1502"/>
      <c r="E687" s="855" t="s">
        <v>234</v>
      </c>
      <c r="F687" s="856">
        <f t="shared" si="38"/>
        <v>12146</v>
      </c>
      <c r="G687" s="856">
        <v>12146</v>
      </c>
      <c r="H687" s="856"/>
      <c r="I687" s="856"/>
      <c r="J687" s="857"/>
      <c r="K687" s="849"/>
    </row>
    <row r="688" spans="1:226" s="850" customFormat="1" ht="15" customHeight="1">
      <c r="A688" s="1500"/>
      <c r="B688" s="1501"/>
      <c r="C688" s="1495"/>
      <c r="D688" s="1502"/>
      <c r="E688" s="855" t="s">
        <v>420</v>
      </c>
      <c r="F688" s="856">
        <f t="shared" si="38"/>
        <v>3400</v>
      </c>
      <c r="G688" s="856"/>
      <c r="H688" s="856"/>
      <c r="I688" s="856">
        <v>3400</v>
      </c>
      <c r="J688" s="857"/>
      <c r="K688" s="849"/>
    </row>
    <row r="689" spans="1:11" s="850" customFormat="1" ht="15" customHeight="1">
      <c r="A689" s="1500"/>
      <c r="B689" s="1501"/>
      <c r="C689" s="1495"/>
      <c r="D689" s="1502"/>
      <c r="E689" s="855" t="s">
        <v>421</v>
      </c>
      <c r="F689" s="856">
        <f t="shared" si="38"/>
        <v>600</v>
      </c>
      <c r="G689" s="856">
        <v>600</v>
      </c>
      <c r="H689" s="856"/>
      <c r="I689" s="856"/>
      <c r="J689" s="857"/>
      <c r="K689" s="849"/>
    </row>
    <row r="690" spans="1:11" s="850" customFormat="1" ht="15" customHeight="1">
      <c r="A690" s="1500"/>
      <c r="B690" s="1501"/>
      <c r="C690" s="1495"/>
      <c r="D690" s="1502"/>
      <c r="E690" s="855" t="s">
        <v>237</v>
      </c>
      <c r="F690" s="856">
        <f t="shared" si="38"/>
        <v>195789</v>
      </c>
      <c r="G690" s="856"/>
      <c r="H690" s="856"/>
      <c r="I690" s="856">
        <v>195789</v>
      </c>
      <c r="J690" s="857"/>
      <c r="K690" s="849"/>
    </row>
    <row r="691" spans="1:11" s="850" customFormat="1" ht="15" customHeight="1">
      <c r="A691" s="1500"/>
      <c r="B691" s="1501"/>
      <c r="C691" s="1495"/>
      <c r="D691" s="1502"/>
      <c r="E691" s="855" t="s">
        <v>238</v>
      </c>
      <c r="F691" s="856">
        <f t="shared" si="38"/>
        <v>34551</v>
      </c>
      <c r="G691" s="856">
        <v>34551</v>
      </c>
      <c r="H691" s="856"/>
      <c r="I691" s="856"/>
      <c r="J691" s="857"/>
      <c r="K691" s="849"/>
    </row>
    <row r="692" spans="1:11" s="850" customFormat="1" ht="24.95" customHeight="1">
      <c r="A692" s="1500"/>
      <c r="B692" s="1501"/>
      <c r="C692" s="1495"/>
      <c r="D692" s="1502"/>
      <c r="E692" s="858" t="s">
        <v>977</v>
      </c>
      <c r="F692" s="852">
        <f>SUM(F693:F694)</f>
        <v>20000</v>
      </c>
      <c r="G692" s="852">
        <f>SUM(G693:G694)</f>
        <v>3000</v>
      </c>
      <c r="H692" s="852">
        <f>SUM(H693:H694)</f>
        <v>0</v>
      </c>
      <c r="I692" s="852">
        <f>SUM(I693:I694)</f>
        <v>17000</v>
      </c>
      <c r="J692" s="853">
        <f>SUM(J693:J694)</f>
        <v>0</v>
      </c>
      <c r="K692" s="849"/>
    </row>
    <row r="693" spans="1:11" s="850" customFormat="1" ht="15" customHeight="1">
      <c r="A693" s="1500"/>
      <c r="B693" s="1501"/>
      <c r="C693" s="1495"/>
      <c r="D693" s="1502"/>
      <c r="E693" s="855" t="s">
        <v>273</v>
      </c>
      <c r="F693" s="856">
        <f t="shared" ref="F693" si="39">SUM(G693:J693)</f>
        <v>17000</v>
      </c>
      <c r="G693" s="856"/>
      <c r="H693" s="856"/>
      <c r="I693" s="856">
        <v>17000</v>
      </c>
      <c r="J693" s="857"/>
      <c r="K693" s="849"/>
    </row>
    <row r="694" spans="1:11" s="850" customFormat="1" ht="15" customHeight="1" thickBot="1">
      <c r="A694" s="1500"/>
      <c r="B694" s="1501"/>
      <c r="C694" s="1495"/>
      <c r="D694" s="1502"/>
      <c r="E694" s="897">
        <v>6069</v>
      </c>
      <c r="F694" s="856">
        <f>SUM(G694:J694)</f>
        <v>3000</v>
      </c>
      <c r="G694" s="856">
        <v>3000</v>
      </c>
      <c r="H694" s="856"/>
      <c r="I694" s="856"/>
      <c r="J694" s="857"/>
      <c r="K694" s="849"/>
    </row>
    <row r="695" spans="1:11" s="850" customFormat="1" ht="24.95" hidden="1" customHeight="1">
      <c r="A695" s="923"/>
      <c r="B695" s="1545" t="s">
        <v>988</v>
      </c>
      <c r="C695" s="1545"/>
      <c r="D695" s="1545"/>
      <c r="E695" s="1545"/>
      <c r="F695" s="924">
        <f>F697+F738</f>
        <v>0</v>
      </c>
      <c r="G695" s="924">
        <f t="shared" ref="G695:J695" si="40">G697+G738</f>
        <v>0</v>
      </c>
      <c r="H695" s="924">
        <f t="shared" si="40"/>
        <v>0</v>
      </c>
      <c r="I695" s="924">
        <f t="shared" si="40"/>
        <v>0</v>
      </c>
      <c r="J695" s="925">
        <f t="shared" si="40"/>
        <v>0</v>
      </c>
      <c r="K695" s="849"/>
    </row>
    <row r="696" spans="1:11" s="850" customFormat="1" ht="24.95" hidden="1" customHeight="1">
      <c r="A696" s="1538"/>
      <c r="B696" s="1539"/>
      <c r="C696" s="1539"/>
      <c r="D696" s="1539"/>
      <c r="E696" s="1539"/>
      <c r="F696" s="1539"/>
      <c r="G696" s="1539"/>
      <c r="H696" s="1539"/>
      <c r="I696" s="1539"/>
      <c r="J696" s="1540"/>
      <c r="K696" s="849"/>
    </row>
    <row r="697" spans="1:11" s="850" customFormat="1" ht="24.95" hidden="1" customHeight="1">
      <c r="A697" s="1500"/>
      <c r="B697" s="1501"/>
      <c r="C697" s="1495"/>
      <c r="D697" s="1502"/>
      <c r="E697" s="846" t="s">
        <v>976</v>
      </c>
      <c r="F697" s="847">
        <f>SUM(F698,F735)</f>
        <v>0</v>
      </c>
      <c r="G697" s="847">
        <f>SUM(G698,G735)</f>
        <v>0</v>
      </c>
      <c r="H697" s="847">
        <f>SUM(H698,H735)</f>
        <v>0</v>
      </c>
      <c r="I697" s="847">
        <f>SUM(I698,I735)</f>
        <v>0</v>
      </c>
      <c r="J697" s="848">
        <f>SUM(J698,J735)</f>
        <v>0</v>
      </c>
      <c r="K697" s="849"/>
    </row>
    <row r="698" spans="1:11" s="850" customFormat="1" ht="24.95" hidden="1" customHeight="1">
      <c r="A698" s="1500"/>
      <c r="B698" s="1501"/>
      <c r="C698" s="1495"/>
      <c r="D698" s="1502"/>
      <c r="E698" s="851" t="s">
        <v>990</v>
      </c>
      <c r="F698" s="852">
        <f>SUM(F699,F710)</f>
        <v>0</v>
      </c>
      <c r="G698" s="852">
        <f>SUM(G699,G710)</f>
        <v>0</v>
      </c>
      <c r="H698" s="852">
        <f>SUM(H699,H710)</f>
        <v>0</v>
      </c>
      <c r="I698" s="852">
        <f>SUM(I699,I710)</f>
        <v>0</v>
      </c>
      <c r="J698" s="853">
        <f>SUM(J699,J710)</f>
        <v>0</v>
      </c>
      <c r="K698" s="849"/>
    </row>
    <row r="699" spans="1:11" s="850" customFormat="1" ht="24.95" hidden="1" customHeight="1">
      <c r="A699" s="1500"/>
      <c r="B699" s="1501"/>
      <c r="C699" s="1495"/>
      <c r="D699" s="1502"/>
      <c r="E699" s="860" t="s">
        <v>981</v>
      </c>
      <c r="F699" s="861">
        <f>SUM(F700:F709)</f>
        <v>0</v>
      </c>
      <c r="G699" s="861">
        <f>SUM(G700:G709)</f>
        <v>0</v>
      </c>
      <c r="H699" s="861">
        <f>SUM(H700:H709)</f>
        <v>0</v>
      </c>
      <c r="I699" s="861">
        <f>SUM(I700:I709)</f>
        <v>0</v>
      </c>
      <c r="J699" s="862">
        <f>SUM(J700:J709)</f>
        <v>0</v>
      </c>
      <c r="K699" s="849"/>
    </row>
    <row r="700" spans="1:11" s="850" customFormat="1" ht="15" hidden="1" customHeight="1">
      <c r="A700" s="1500"/>
      <c r="B700" s="1501"/>
      <c r="C700" s="1495"/>
      <c r="D700" s="1502"/>
      <c r="E700" s="855" t="s">
        <v>335</v>
      </c>
      <c r="F700" s="856">
        <f t="shared" ref="F700:F709" si="41">SUM(G700:J700)</f>
        <v>0</v>
      </c>
      <c r="G700" s="856"/>
      <c r="H700" s="856"/>
      <c r="I700" s="856"/>
      <c r="J700" s="857"/>
      <c r="K700" s="849"/>
    </row>
    <row r="701" spans="1:11" s="850" customFormat="1" ht="15" hidden="1" customHeight="1">
      <c r="A701" s="1500"/>
      <c r="B701" s="1501"/>
      <c r="C701" s="1495"/>
      <c r="D701" s="1502"/>
      <c r="E701" s="855" t="s">
        <v>215</v>
      </c>
      <c r="F701" s="856">
        <f t="shared" si="41"/>
        <v>0</v>
      </c>
      <c r="G701" s="856"/>
      <c r="H701" s="856"/>
      <c r="I701" s="856"/>
      <c r="J701" s="857"/>
      <c r="K701" s="849"/>
    </row>
    <row r="702" spans="1:11" s="850" customFormat="1" ht="15" hidden="1" customHeight="1">
      <c r="A702" s="1500"/>
      <c r="B702" s="1501"/>
      <c r="C702" s="1495"/>
      <c r="D702" s="1502"/>
      <c r="E702" s="855" t="s">
        <v>428</v>
      </c>
      <c r="F702" s="856">
        <f t="shared" si="41"/>
        <v>0</v>
      </c>
      <c r="G702" s="856"/>
      <c r="H702" s="856"/>
      <c r="I702" s="856"/>
      <c r="J702" s="857"/>
      <c r="K702" s="849"/>
    </row>
    <row r="703" spans="1:11" s="850" customFormat="1" ht="15" hidden="1" customHeight="1">
      <c r="A703" s="1500"/>
      <c r="B703" s="1501"/>
      <c r="C703" s="1495"/>
      <c r="D703" s="1502"/>
      <c r="E703" s="855" t="s">
        <v>217</v>
      </c>
      <c r="F703" s="856">
        <f t="shared" si="41"/>
        <v>0</v>
      </c>
      <c r="G703" s="856"/>
      <c r="H703" s="856"/>
      <c r="I703" s="856"/>
      <c r="J703" s="857"/>
      <c r="K703" s="849"/>
    </row>
    <row r="704" spans="1:11" s="850" customFormat="1" ht="15" hidden="1" customHeight="1">
      <c r="A704" s="1500"/>
      <c r="B704" s="1501"/>
      <c r="C704" s="1495"/>
      <c r="D704" s="1502"/>
      <c r="E704" s="855" t="s">
        <v>336</v>
      </c>
      <c r="F704" s="856">
        <f t="shared" si="41"/>
        <v>0</v>
      </c>
      <c r="G704" s="856"/>
      <c r="H704" s="856"/>
      <c r="I704" s="856"/>
      <c r="J704" s="857"/>
      <c r="K704" s="849"/>
    </row>
    <row r="705" spans="1:226" s="850" customFormat="1" ht="15" hidden="1" customHeight="1">
      <c r="A705" s="1500"/>
      <c r="B705" s="1501"/>
      <c r="C705" s="1495"/>
      <c r="D705" s="1502"/>
      <c r="E705" s="855" t="s">
        <v>219</v>
      </c>
      <c r="F705" s="856">
        <f t="shared" si="41"/>
        <v>0</v>
      </c>
      <c r="G705" s="856"/>
      <c r="H705" s="856"/>
      <c r="I705" s="856"/>
      <c r="J705" s="857"/>
      <c r="K705" s="849"/>
    </row>
    <row r="706" spans="1:226" s="850" customFormat="1" ht="15" hidden="1" customHeight="1">
      <c r="A706" s="1500"/>
      <c r="B706" s="1501"/>
      <c r="C706" s="1495"/>
      <c r="D706" s="1502"/>
      <c r="E706" s="855" t="s">
        <v>337</v>
      </c>
      <c r="F706" s="856">
        <f t="shared" si="41"/>
        <v>0</v>
      </c>
      <c r="G706" s="856"/>
      <c r="H706" s="856"/>
      <c r="I706" s="856"/>
      <c r="J706" s="857"/>
      <c r="K706" s="849"/>
    </row>
    <row r="707" spans="1:226" s="850" customFormat="1" ht="15" hidden="1" customHeight="1">
      <c r="A707" s="1500"/>
      <c r="B707" s="1501"/>
      <c r="C707" s="1495"/>
      <c r="D707" s="1502"/>
      <c r="E707" s="855" t="s">
        <v>221</v>
      </c>
      <c r="F707" s="856">
        <f t="shared" si="41"/>
        <v>0</v>
      </c>
      <c r="G707" s="856"/>
      <c r="H707" s="856"/>
      <c r="I707" s="856"/>
      <c r="J707" s="857"/>
      <c r="K707" s="849"/>
    </row>
    <row r="708" spans="1:226" s="850" customFormat="1" ht="15" hidden="1" customHeight="1">
      <c r="A708" s="1500"/>
      <c r="B708" s="1501"/>
      <c r="C708" s="1495"/>
      <c r="D708" s="1502"/>
      <c r="E708" s="855" t="s">
        <v>368</v>
      </c>
      <c r="F708" s="856">
        <f t="shared" si="41"/>
        <v>0</v>
      </c>
      <c r="G708" s="856"/>
      <c r="H708" s="856"/>
      <c r="I708" s="856"/>
      <c r="J708" s="857"/>
      <c r="K708" s="849"/>
      <c r="L708" s="849"/>
      <c r="M708" s="849"/>
      <c r="N708" s="849"/>
      <c r="O708" s="849"/>
      <c r="P708" s="849"/>
      <c r="Q708" s="849"/>
      <c r="R708" s="849"/>
      <c r="S708" s="849"/>
      <c r="T708" s="849"/>
      <c r="U708" s="849"/>
      <c r="V708" s="849"/>
      <c r="W708" s="849"/>
      <c r="X708" s="849"/>
      <c r="Y708" s="849"/>
      <c r="Z708" s="849"/>
      <c r="AA708" s="849"/>
      <c r="AB708" s="849"/>
      <c r="AC708" s="849"/>
      <c r="AD708" s="849"/>
      <c r="AE708" s="849"/>
      <c r="AF708" s="849"/>
      <c r="AG708" s="849"/>
      <c r="AH708" s="849"/>
      <c r="AI708" s="849"/>
      <c r="AJ708" s="849"/>
      <c r="AK708" s="849"/>
      <c r="AL708" s="849"/>
      <c r="AM708" s="849"/>
      <c r="AN708" s="849"/>
      <c r="AO708" s="849"/>
      <c r="AP708" s="849"/>
      <c r="AQ708" s="849"/>
      <c r="AR708" s="849"/>
      <c r="AS708" s="849"/>
      <c r="AT708" s="849"/>
      <c r="AU708" s="849"/>
      <c r="AV708" s="849"/>
      <c r="AW708" s="849"/>
      <c r="AX708" s="849"/>
      <c r="AY708" s="849"/>
      <c r="AZ708" s="849"/>
      <c r="BA708" s="849"/>
      <c r="BB708" s="849"/>
      <c r="BC708" s="849"/>
      <c r="BD708" s="849"/>
      <c r="BE708" s="849"/>
      <c r="BF708" s="849"/>
      <c r="BG708" s="849"/>
      <c r="BH708" s="849"/>
      <c r="BI708" s="849"/>
      <c r="BJ708" s="849"/>
      <c r="BK708" s="849"/>
      <c r="BL708" s="849"/>
      <c r="BM708" s="849"/>
      <c r="BN708" s="849"/>
      <c r="BO708" s="849"/>
      <c r="BP708" s="849"/>
      <c r="BQ708" s="849"/>
      <c r="BR708" s="849"/>
      <c r="BS708" s="849"/>
      <c r="BT708" s="849"/>
      <c r="BU708" s="849"/>
      <c r="BV708" s="849"/>
      <c r="BW708" s="849"/>
      <c r="BX708" s="849"/>
      <c r="BY708" s="849"/>
      <c r="BZ708" s="849"/>
      <c r="CA708" s="849"/>
      <c r="CB708" s="849"/>
      <c r="CC708" s="849"/>
      <c r="CD708" s="849"/>
      <c r="CE708" s="849"/>
      <c r="CF708" s="849"/>
      <c r="CG708" s="849"/>
      <c r="CH708" s="849"/>
      <c r="CI708" s="849"/>
      <c r="CJ708" s="849"/>
      <c r="CK708" s="849"/>
      <c r="CL708" s="849"/>
      <c r="CM708" s="849"/>
      <c r="CN708" s="849"/>
      <c r="CO708" s="849"/>
      <c r="CP708" s="849"/>
      <c r="CQ708" s="849"/>
      <c r="CR708" s="849"/>
      <c r="CS708" s="849"/>
      <c r="CT708" s="849"/>
      <c r="CU708" s="849"/>
      <c r="CV708" s="849"/>
      <c r="CW708" s="849"/>
      <c r="CX708" s="849"/>
      <c r="CY708" s="849"/>
      <c r="CZ708" s="849"/>
      <c r="DA708" s="849"/>
      <c r="DB708" s="849"/>
      <c r="DC708" s="849"/>
      <c r="DD708" s="849"/>
      <c r="DE708" s="849"/>
      <c r="DF708" s="849"/>
      <c r="DG708" s="849"/>
      <c r="DH708" s="849"/>
      <c r="DI708" s="849"/>
      <c r="DJ708" s="849"/>
      <c r="DK708" s="849"/>
      <c r="DL708" s="849"/>
      <c r="DM708" s="849"/>
      <c r="DN708" s="849"/>
      <c r="DO708" s="849"/>
      <c r="DP708" s="849"/>
      <c r="DQ708" s="849"/>
      <c r="DR708" s="849"/>
      <c r="DS708" s="849"/>
      <c r="DT708" s="849"/>
      <c r="DU708" s="849"/>
      <c r="DV708" s="849"/>
      <c r="DW708" s="849"/>
      <c r="DX708" s="849"/>
      <c r="DY708" s="849"/>
      <c r="DZ708" s="849"/>
      <c r="EA708" s="849"/>
      <c r="EB708" s="849"/>
      <c r="EC708" s="849"/>
      <c r="ED708" s="849"/>
      <c r="EE708" s="849"/>
      <c r="EF708" s="849"/>
      <c r="EG708" s="849"/>
      <c r="EH708" s="849"/>
      <c r="EI708" s="849"/>
      <c r="EJ708" s="849"/>
      <c r="EK708" s="849"/>
      <c r="EL708" s="849"/>
      <c r="EM708" s="849"/>
      <c r="EN708" s="849"/>
      <c r="EO708" s="849"/>
      <c r="EP708" s="849"/>
      <c r="EQ708" s="849"/>
      <c r="ER708" s="849"/>
      <c r="ES708" s="849"/>
      <c r="ET708" s="849"/>
      <c r="EU708" s="849"/>
      <c r="EV708" s="849"/>
      <c r="EW708" s="849"/>
      <c r="EX708" s="849"/>
      <c r="EY708" s="849"/>
      <c r="EZ708" s="849"/>
      <c r="FA708" s="849"/>
      <c r="FB708" s="849"/>
      <c r="FC708" s="849"/>
      <c r="FD708" s="849"/>
      <c r="FE708" s="849"/>
      <c r="FF708" s="849"/>
      <c r="FG708" s="849"/>
      <c r="FH708" s="849"/>
      <c r="FI708" s="849"/>
      <c r="FJ708" s="849"/>
      <c r="FK708" s="849"/>
      <c r="FL708" s="849"/>
      <c r="FM708" s="849"/>
      <c r="FN708" s="849"/>
      <c r="FO708" s="849"/>
      <c r="FP708" s="849"/>
      <c r="FQ708" s="849"/>
      <c r="FR708" s="849"/>
      <c r="FS708" s="849"/>
      <c r="FT708" s="849"/>
      <c r="FU708" s="849"/>
      <c r="FV708" s="849"/>
      <c r="FW708" s="849"/>
      <c r="FX708" s="849"/>
      <c r="FY708" s="849"/>
      <c r="FZ708" s="849"/>
      <c r="GA708" s="849"/>
      <c r="GB708" s="849"/>
      <c r="GC708" s="849"/>
      <c r="GD708" s="849"/>
      <c r="GE708" s="849"/>
      <c r="GF708" s="849"/>
      <c r="GG708" s="849"/>
      <c r="GH708" s="849"/>
      <c r="GI708" s="849"/>
      <c r="GJ708" s="849"/>
      <c r="GK708" s="849"/>
      <c r="GL708" s="849"/>
      <c r="GM708" s="849"/>
      <c r="GN708" s="849"/>
      <c r="GO708" s="849"/>
      <c r="GP708" s="849"/>
      <c r="GQ708" s="849"/>
      <c r="GR708" s="849"/>
      <c r="GS708" s="849"/>
      <c r="GT708" s="849"/>
      <c r="GU708" s="849"/>
      <c r="GV708" s="849"/>
      <c r="GW708" s="849"/>
      <c r="GX708" s="849"/>
      <c r="GY708" s="849"/>
      <c r="GZ708" s="849"/>
      <c r="HA708" s="849"/>
      <c r="HB708" s="849"/>
      <c r="HC708" s="849"/>
      <c r="HD708" s="849"/>
      <c r="HE708" s="849"/>
      <c r="HF708" s="849"/>
      <c r="HG708" s="849"/>
      <c r="HH708" s="849"/>
      <c r="HI708" s="849"/>
      <c r="HJ708" s="849"/>
      <c r="HK708" s="849"/>
      <c r="HL708" s="849"/>
      <c r="HM708" s="849"/>
      <c r="HN708" s="849"/>
      <c r="HO708" s="849"/>
      <c r="HP708" s="849"/>
      <c r="HQ708" s="849"/>
      <c r="HR708" s="849"/>
    </row>
    <row r="709" spans="1:226" s="850" customFormat="1" ht="15" hidden="1" customHeight="1">
      <c r="A709" s="1500"/>
      <c r="B709" s="1501"/>
      <c r="C709" s="1495"/>
      <c r="D709" s="1502"/>
      <c r="E709" s="855" t="s">
        <v>223</v>
      </c>
      <c r="F709" s="856">
        <f t="shared" si="41"/>
        <v>0</v>
      </c>
      <c r="G709" s="856"/>
      <c r="H709" s="856"/>
      <c r="I709" s="856"/>
      <c r="J709" s="857"/>
      <c r="K709" s="849"/>
    </row>
    <row r="710" spans="1:226" s="850" customFormat="1" ht="24.95" hidden="1" customHeight="1">
      <c r="A710" s="1500"/>
      <c r="B710" s="1501"/>
      <c r="C710" s="1495"/>
      <c r="D710" s="1502"/>
      <c r="E710" s="860" t="s">
        <v>982</v>
      </c>
      <c r="F710" s="861">
        <f>SUM(F711:F734)</f>
        <v>0</v>
      </c>
      <c r="G710" s="861">
        <f>SUM(G711:G734)</f>
        <v>0</v>
      </c>
      <c r="H710" s="861">
        <f>SUM(H711:H734)</f>
        <v>0</v>
      </c>
      <c r="I710" s="861">
        <f>SUM(I711:I734)</f>
        <v>0</v>
      </c>
      <c r="J710" s="862">
        <f>SUM(J711:J734)</f>
        <v>0</v>
      </c>
      <c r="K710" s="849"/>
    </row>
    <row r="711" spans="1:226" s="850" customFormat="1" ht="15" hidden="1" customHeight="1">
      <c r="A711" s="1500"/>
      <c r="B711" s="1501"/>
      <c r="C711" s="1495"/>
      <c r="D711" s="1502"/>
      <c r="E711" s="855" t="s">
        <v>369</v>
      </c>
      <c r="F711" s="856">
        <f t="shared" ref="F711:F734" si="42">SUM(G711:J711)</f>
        <v>0</v>
      </c>
      <c r="G711" s="856"/>
      <c r="H711" s="856"/>
      <c r="I711" s="856"/>
      <c r="J711" s="857"/>
      <c r="K711" s="849"/>
    </row>
    <row r="712" spans="1:226" s="850" customFormat="1" ht="15" hidden="1" customHeight="1">
      <c r="A712" s="1500"/>
      <c r="B712" s="1501"/>
      <c r="C712" s="1495"/>
      <c r="D712" s="1502"/>
      <c r="E712" s="855" t="s">
        <v>228</v>
      </c>
      <c r="F712" s="856">
        <f t="shared" si="42"/>
        <v>0</v>
      </c>
      <c r="G712" s="856"/>
      <c r="H712" s="856"/>
      <c r="I712" s="856"/>
      <c r="J712" s="857"/>
      <c r="K712" s="849"/>
    </row>
    <row r="713" spans="1:226" s="850" customFormat="1" ht="15" hidden="1" customHeight="1">
      <c r="A713" s="1500"/>
      <c r="B713" s="1501"/>
      <c r="C713" s="1495"/>
      <c r="D713" s="1502"/>
      <c r="E713" s="855" t="s">
        <v>429</v>
      </c>
      <c r="F713" s="856">
        <f t="shared" si="42"/>
        <v>0</v>
      </c>
      <c r="G713" s="856"/>
      <c r="H713" s="856"/>
      <c r="I713" s="856"/>
      <c r="J713" s="857"/>
      <c r="K713" s="849"/>
    </row>
    <row r="714" spans="1:226" s="850" customFormat="1" ht="15" hidden="1" customHeight="1">
      <c r="A714" s="1500"/>
      <c r="B714" s="1501"/>
      <c r="C714" s="1495"/>
      <c r="D714" s="1502"/>
      <c r="E714" s="855" t="s">
        <v>399</v>
      </c>
      <c r="F714" s="856">
        <f t="shared" si="42"/>
        <v>0</v>
      </c>
      <c r="G714" s="856"/>
      <c r="H714" s="856"/>
      <c r="I714" s="856"/>
      <c r="J714" s="857"/>
      <c r="K714" s="849"/>
    </row>
    <row r="715" spans="1:226" s="850" customFormat="1" ht="15" hidden="1" customHeight="1">
      <c r="A715" s="1500"/>
      <c r="B715" s="1501"/>
      <c r="C715" s="1495"/>
      <c r="D715" s="1502"/>
      <c r="E715" s="855" t="s">
        <v>664</v>
      </c>
      <c r="F715" s="856">
        <f t="shared" si="42"/>
        <v>0</v>
      </c>
      <c r="G715" s="856"/>
      <c r="H715" s="856"/>
      <c r="I715" s="856"/>
      <c r="J715" s="857"/>
      <c r="K715" s="849"/>
    </row>
    <row r="716" spans="1:226" s="850" customFormat="1" ht="15" hidden="1" customHeight="1">
      <c r="A716" s="1500"/>
      <c r="B716" s="1501"/>
      <c r="C716" s="1495"/>
      <c r="D716" s="1502"/>
      <c r="E716" s="855" t="s">
        <v>230</v>
      </c>
      <c r="F716" s="856">
        <f t="shared" si="42"/>
        <v>0</v>
      </c>
      <c r="G716" s="856"/>
      <c r="H716" s="856"/>
      <c r="I716" s="856"/>
      <c r="J716" s="857"/>
      <c r="K716" s="849"/>
    </row>
    <row r="717" spans="1:226" s="850" customFormat="1" ht="15" hidden="1" customHeight="1">
      <c r="A717" s="1500"/>
      <c r="B717" s="1501"/>
      <c r="C717" s="1495"/>
      <c r="D717" s="1502"/>
      <c r="E717" s="855" t="s">
        <v>338</v>
      </c>
      <c r="F717" s="856">
        <f t="shared" si="42"/>
        <v>0</v>
      </c>
      <c r="G717" s="856"/>
      <c r="H717" s="856"/>
      <c r="I717" s="856"/>
      <c r="J717" s="857"/>
      <c r="K717" s="849"/>
    </row>
    <row r="718" spans="1:226" s="850" customFormat="1" ht="15" hidden="1" customHeight="1">
      <c r="A718" s="1500"/>
      <c r="B718" s="1501"/>
      <c r="C718" s="1495"/>
      <c r="D718" s="1502"/>
      <c r="E718" s="855" t="s">
        <v>232</v>
      </c>
      <c r="F718" s="856">
        <f t="shared" si="42"/>
        <v>0</v>
      </c>
      <c r="G718" s="856"/>
      <c r="H718" s="856"/>
      <c r="I718" s="856"/>
      <c r="J718" s="857"/>
      <c r="K718" s="849"/>
    </row>
    <row r="719" spans="1:226" s="850" customFormat="1" ht="15" hidden="1" customHeight="1">
      <c r="A719" s="1500"/>
      <c r="B719" s="1501"/>
      <c r="C719" s="1495"/>
      <c r="D719" s="1502"/>
      <c r="E719" s="855" t="s">
        <v>430</v>
      </c>
      <c r="F719" s="856">
        <f t="shared" si="42"/>
        <v>0</v>
      </c>
      <c r="G719" s="856"/>
      <c r="H719" s="856"/>
      <c r="I719" s="856"/>
      <c r="J719" s="857"/>
      <c r="K719" s="849"/>
    </row>
    <row r="720" spans="1:226" s="850" customFormat="1" ht="15" hidden="1" customHeight="1">
      <c r="A720" s="1500"/>
      <c r="B720" s="1501"/>
      <c r="C720" s="1495"/>
      <c r="D720" s="1502"/>
      <c r="E720" s="855" t="s">
        <v>269</v>
      </c>
      <c r="F720" s="856">
        <f t="shared" si="42"/>
        <v>0</v>
      </c>
      <c r="G720" s="856"/>
      <c r="H720" s="856"/>
      <c r="I720" s="856"/>
      <c r="J720" s="857"/>
      <c r="K720" s="849"/>
    </row>
    <row r="721" spans="1:12" s="850" customFormat="1" ht="15" hidden="1" customHeight="1">
      <c r="A721" s="1500"/>
      <c r="B721" s="1501"/>
      <c r="C721" s="1495"/>
      <c r="D721" s="1502"/>
      <c r="E721" s="855" t="s">
        <v>431</v>
      </c>
      <c r="F721" s="856">
        <f t="shared" si="42"/>
        <v>0</v>
      </c>
      <c r="G721" s="856"/>
      <c r="H721" s="856"/>
      <c r="I721" s="856"/>
      <c r="J721" s="857"/>
      <c r="K721" s="849"/>
    </row>
    <row r="722" spans="1:12" s="850" customFormat="1" ht="15" hidden="1" customHeight="1">
      <c r="A722" s="1500"/>
      <c r="B722" s="1501"/>
      <c r="C722" s="1495"/>
      <c r="D722" s="1502"/>
      <c r="E722" s="855" t="s">
        <v>432</v>
      </c>
      <c r="F722" s="856">
        <f t="shared" si="42"/>
        <v>0</v>
      </c>
      <c r="G722" s="856"/>
      <c r="H722" s="856"/>
      <c r="I722" s="856"/>
      <c r="J722" s="857"/>
      <c r="K722" s="849"/>
    </row>
    <row r="723" spans="1:12" s="850" customFormat="1" ht="15" hidden="1" customHeight="1">
      <c r="A723" s="1500"/>
      <c r="B723" s="1501"/>
      <c r="C723" s="1495"/>
      <c r="D723" s="1502"/>
      <c r="E723" s="855" t="s">
        <v>297</v>
      </c>
      <c r="F723" s="856">
        <f t="shared" si="42"/>
        <v>0</v>
      </c>
      <c r="G723" s="856"/>
      <c r="H723" s="856"/>
      <c r="I723" s="856"/>
      <c r="J723" s="857"/>
      <c r="K723" s="849"/>
    </row>
    <row r="724" spans="1:12" s="850" customFormat="1" ht="15" hidden="1" customHeight="1">
      <c r="A724" s="1500"/>
      <c r="B724" s="1501"/>
      <c r="C724" s="1495"/>
      <c r="D724" s="1502"/>
      <c r="E724" s="855" t="s">
        <v>298</v>
      </c>
      <c r="F724" s="856">
        <f t="shared" si="42"/>
        <v>0</v>
      </c>
      <c r="G724" s="856"/>
      <c r="H724" s="856"/>
      <c r="I724" s="856"/>
      <c r="J724" s="857"/>
      <c r="K724" s="849"/>
    </row>
    <row r="725" spans="1:12" s="850" customFormat="1" ht="15" hidden="1" customHeight="1">
      <c r="A725" s="1500"/>
      <c r="B725" s="1501"/>
      <c r="C725" s="1495"/>
      <c r="D725" s="1502"/>
      <c r="E725" s="855" t="s">
        <v>433</v>
      </c>
      <c r="F725" s="856">
        <f t="shared" si="42"/>
        <v>0</v>
      </c>
      <c r="G725" s="856"/>
      <c r="H725" s="856"/>
      <c r="I725" s="856"/>
      <c r="J725" s="857"/>
      <c r="K725" s="849"/>
    </row>
    <row r="726" spans="1:12" s="850" customFormat="1" ht="15" hidden="1" customHeight="1">
      <c r="A726" s="1500"/>
      <c r="B726" s="1501"/>
      <c r="C726" s="1495"/>
      <c r="D726" s="1502"/>
      <c r="E726" s="855" t="s">
        <v>416</v>
      </c>
      <c r="F726" s="856">
        <f t="shared" si="42"/>
        <v>0</v>
      </c>
      <c r="G726" s="856"/>
      <c r="H726" s="856"/>
      <c r="I726" s="856"/>
      <c r="J726" s="857"/>
      <c r="K726" s="849"/>
    </row>
    <row r="727" spans="1:12" s="850" customFormat="1" ht="15" hidden="1" customHeight="1">
      <c r="A727" s="1500"/>
      <c r="B727" s="1501"/>
      <c r="C727" s="1495"/>
      <c r="D727" s="1502"/>
      <c r="E727" s="855" t="s">
        <v>339</v>
      </c>
      <c r="F727" s="856">
        <f t="shared" si="42"/>
        <v>0</v>
      </c>
      <c r="G727" s="856"/>
      <c r="H727" s="856"/>
      <c r="I727" s="856"/>
      <c r="J727" s="857"/>
      <c r="K727" s="849"/>
    </row>
    <row r="728" spans="1:12" s="850" customFormat="1" ht="15" hidden="1" customHeight="1">
      <c r="A728" s="1500"/>
      <c r="B728" s="1501"/>
      <c r="C728" s="1495"/>
      <c r="D728" s="1502"/>
      <c r="E728" s="855" t="s">
        <v>234</v>
      </c>
      <c r="F728" s="856">
        <f t="shared" si="42"/>
        <v>0</v>
      </c>
      <c r="G728" s="856"/>
      <c r="H728" s="856"/>
      <c r="I728" s="856"/>
      <c r="J728" s="857"/>
      <c r="K728" s="849"/>
    </row>
    <row r="729" spans="1:12" s="850" customFormat="1" ht="15" hidden="1" customHeight="1">
      <c r="A729" s="1500"/>
      <c r="B729" s="1501"/>
      <c r="C729" s="1495"/>
      <c r="D729" s="1502"/>
      <c r="E729" s="855" t="s">
        <v>434</v>
      </c>
      <c r="F729" s="856">
        <f t="shared" si="42"/>
        <v>0</v>
      </c>
      <c r="G729" s="856"/>
      <c r="H729" s="856"/>
      <c r="I729" s="856"/>
      <c r="J729" s="857"/>
      <c r="K729" s="849"/>
    </row>
    <row r="730" spans="1:12" s="845" customFormat="1" ht="15" hidden="1" customHeight="1">
      <c r="A730" s="1500"/>
      <c r="B730" s="1501"/>
      <c r="C730" s="1495"/>
      <c r="D730" s="1502"/>
      <c r="E730" s="855" t="s">
        <v>435</v>
      </c>
      <c r="F730" s="856">
        <f t="shared" si="42"/>
        <v>0</v>
      </c>
      <c r="G730" s="856"/>
      <c r="H730" s="856"/>
      <c r="I730" s="856"/>
      <c r="J730" s="857"/>
      <c r="L730" s="844"/>
    </row>
    <row r="731" spans="1:12" s="174" customFormat="1" ht="15" hidden="1" customHeight="1">
      <c r="A731" s="1500"/>
      <c r="B731" s="1501"/>
      <c r="C731" s="1495"/>
      <c r="D731" s="1502"/>
      <c r="E731" s="855" t="s">
        <v>618</v>
      </c>
      <c r="F731" s="856">
        <f t="shared" si="42"/>
        <v>0</v>
      </c>
      <c r="G731" s="856"/>
      <c r="H731" s="856"/>
      <c r="I731" s="856"/>
      <c r="J731" s="857"/>
    </row>
    <row r="732" spans="1:12" s="174" customFormat="1" ht="15" hidden="1" customHeight="1">
      <c r="A732" s="1500"/>
      <c r="B732" s="1501"/>
      <c r="C732" s="1495"/>
      <c r="D732" s="1502"/>
      <c r="E732" s="855" t="s">
        <v>1045</v>
      </c>
      <c r="F732" s="856">
        <f t="shared" si="42"/>
        <v>0</v>
      </c>
      <c r="G732" s="856"/>
      <c r="H732" s="856"/>
      <c r="I732" s="856"/>
      <c r="J732" s="857"/>
    </row>
    <row r="733" spans="1:12" s="174" customFormat="1" ht="15" hidden="1" customHeight="1">
      <c r="A733" s="1500"/>
      <c r="B733" s="1501"/>
      <c r="C733" s="1495"/>
      <c r="D733" s="1502"/>
      <c r="E733" s="855" t="s">
        <v>542</v>
      </c>
      <c r="F733" s="856">
        <f t="shared" si="42"/>
        <v>0</v>
      </c>
      <c r="G733" s="856"/>
      <c r="H733" s="856"/>
      <c r="I733" s="856"/>
      <c r="J733" s="857"/>
      <c r="K733" s="926"/>
    </row>
    <row r="734" spans="1:12" s="928" customFormat="1" ht="15" hidden="1" customHeight="1">
      <c r="A734" s="1500"/>
      <c r="B734" s="1501"/>
      <c r="C734" s="1495"/>
      <c r="D734" s="1502"/>
      <c r="E734" s="855" t="s">
        <v>421</v>
      </c>
      <c r="F734" s="856">
        <f t="shared" si="42"/>
        <v>0</v>
      </c>
      <c r="G734" s="856"/>
      <c r="H734" s="856"/>
      <c r="I734" s="856"/>
      <c r="J734" s="857"/>
      <c r="K734" s="927"/>
    </row>
    <row r="735" spans="1:12" s="928" customFormat="1" ht="24.95" hidden="1" customHeight="1">
      <c r="A735" s="1500"/>
      <c r="B735" s="1501"/>
      <c r="C735" s="1495"/>
      <c r="D735" s="1502"/>
      <c r="E735" s="858" t="s">
        <v>977</v>
      </c>
      <c r="F735" s="852">
        <f>SUM(F736:F737)</f>
        <v>0</v>
      </c>
      <c r="G735" s="852">
        <f>SUM(G736:G737)</f>
        <v>0</v>
      </c>
      <c r="H735" s="852">
        <f>SUM(H736:H737)</f>
        <v>0</v>
      </c>
      <c r="I735" s="852">
        <f>SUM(I736:I737)</f>
        <v>0</v>
      </c>
      <c r="J735" s="853">
        <f>SUM(J736:J737)</f>
        <v>0</v>
      </c>
      <c r="K735" s="927"/>
    </row>
    <row r="736" spans="1:12" s="928" customFormat="1" ht="15" hidden="1" customHeight="1">
      <c r="A736" s="1500"/>
      <c r="B736" s="1501"/>
      <c r="C736" s="1495"/>
      <c r="D736" s="1502"/>
      <c r="E736" s="855"/>
      <c r="F736" s="856">
        <f>SUM(G736:J736)</f>
        <v>0</v>
      </c>
      <c r="G736" s="856"/>
      <c r="H736" s="856"/>
      <c r="I736" s="856"/>
      <c r="J736" s="857"/>
      <c r="K736" s="927"/>
    </row>
    <row r="737" spans="1:11" s="174" customFormat="1" ht="15" hidden="1" customHeight="1">
      <c r="A737" s="1500"/>
      <c r="B737" s="1501"/>
      <c r="C737" s="1495"/>
      <c r="D737" s="1502"/>
      <c r="E737" s="897"/>
      <c r="F737" s="856">
        <f>SUM(G737:J737)</f>
        <v>0</v>
      </c>
      <c r="G737" s="856"/>
      <c r="H737" s="856"/>
      <c r="I737" s="856"/>
      <c r="J737" s="857"/>
      <c r="K737" s="926"/>
    </row>
    <row r="738" spans="1:11" s="930" customFormat="1" ht="24.95" hidden="1" customHeight="1">
      <c r="A738" s="1500"/>
      <c r="B738" s="1501"/>
      <c r="C738" s="1495"/>
      <c r="D738" s="1502"/>
      <c r="E738" s="846" t="s">
        <v>976</v>
      </c>
      <c r="F738" s="847">
        <f>SUM(F739,F780)</f>
        <v>0</v>
      </c>
      <c r="G738" s="847">
        <f>SUM(G739,G780)</f>
        <v>0</v>
      </c>
      <c r="H738" s="847">
        <f>SUM(H739,H780)</f>
        <v>0</v>
      </c>
      <c r="I738" s="847">
        <f>SUM(I739,I780)</f>
        <v>0</v>
      </c>
      <c r="J738" s="848">
        <f>SUM(J739,J780)</f>
        <v>0</v>
      </c>
      <c r="K738" s="929"/>
    </row>
    <row r="739" spans="1:11" s="930" customFormat="1" ht="24.95" hidden="1" customHeight="1">
      <c r="A739" s="1500"/>
      <c r="B739" s="1501"/>
      <c r="C739" s="1495"/>
      <c r="D739" s="1502"/>
      <c r="E739" s="851" t="s">
        <v>990</v>
      </c>
      <c r="F739" s="852">
        <f>SUM(F740,F751)</f>
        <v>0</v>
      </c>
      <c r="G739" s="852">
        <f>SUM(G740,G751)</f>
        <v>0</v>
      </c>
      <c r="H739" s="852">
        <f>SUM(H740,H751)</f>
        <v>0</v>
      </c>
      <c r="I739" s="852">
        <f>SUM(I740,I751)</f>
        <v>0</v>
      </c>
      <c r="J739" s="853">
        <f>SUM(J740,J751)</f>
        <v>0</v>
      </c>
      <c r="K739" s="931"/>
    </row>
    <row r="740" spans="1:11" s="174" customFormat="1" ht="24.95" hidden="1" customHeight="1">
      <c r="A740" s="1500"/>
      <c r="B740" s="1501"/>
      <c r="C740" s="1495"/>
      <c r="D740" s="1502"/>
      <c r="E740" s="860" t="s">
        <v>981</v>
      </c>
      <c r="F740" s="861">
        <f>SUM(F741:F750)</f>
        <v>0</v>
      </c>
      <c r="G740" s="861">
        <f>SUM(G741:G750)</f>
        <v>0</v>
      </c>
      <c r="H740" s="861">
        <f>SUM(H741:H750)</f>
        <v>0</v>
      </c>
      <c r="I740" s="861">
        <f>SUM(I741:I750)</f>
        <v>0</v>
      </c>
      <c r="J740" s="862">
        <f>SUM(J741:J750)</f>
        <v>0</v>
      </c>
      <c r="K740" s="932"/>
    </row>
    <row r="741" spans="1:11" s="930" customFormat="1" ht="15" hidden="1" customHeight="1">
      <c r="A741" s="1500"/>
      <c r="B741" s="1501"/>
      <c r="C741" s="1495"/>
      <c r="D741" s="1502"/>
      <c r="E741" s="855" t="s">
        <v>335</v>
      </c>
      <c r="F741" s="856">
        <f t="shared" ref="F741:F750" si="43">SUM(G741:J741)</f>
        <v>0</v>
      </c>
      <c r="G741" s="856"/>
      <c r="H741" s="856"/>
      <c r="I741" s="856"/>
      <c r="J741" s="857"/>
      <c r="K741" s="929"/>
    </row>
    <row r="742" spans="1:11" s="930" customFormat="1" ht="15" hidden="1" customHeight="1">
      <c r="A742" s="1500"/>
      <c r="B742" s="1501"/>
      <c r="C742" s="1495"/>
      <c r="D742" s="1502"/>
      <c r="E742" s="855" t="s">
        <v>215</v>
      </c>
      <c r="F742" s="856">
        <f t="shared" si="43"/>
        <v>0</v>
      </c>
      <c r="G742" s="856"/>
      <c r="H742" s="856"/>
      <c r="I742" s="856"/>
      <c r="J742" s="857"/>
      <c r="K742" s="929"/>
    </row>
    <row r="743" spans="1:11" s="174" customFormat="1" ht="15" hidden="1" customHeight="1">
      <c r="A743" s="1500"/>
      <c r="B743" s="1501"/>
      <c r="C743" s="1495"/>
      <c r="D743" s="1502"/>
      <c r="E743" s="855" t="s">
        <v>428</v>
      </c>
      <c r="F743" s="856">
        <f t="shared" si="43"/>
        <v>0</v>
      </c>
      <c r="G743" s="856"/>
      <c r="H743" s="856"/>
      <c r="I743" s="856"/>
      <c r="J743" s="857"/>
      <c r="K743" s="926"/>
    </row>
    <row r="744" spans="1:11" s="930" customFormat="1" ht="15" hidden="1" customHeight="1">
      <c r="A744" s="1500"/>
      <c r="B744" s="1501"/>
      <c r="C744" s="1495"/>
      <c r="D744" s="1502"/>
      <c r="E744" s="855" t="s">
        <v>217</v>
      </c>
      <c r="F744" s="856">
        <f t="shared" si="43"/>
        <v>0</v>
      </c>
      <c r="G744" s="856"/>
      <c r="H744" s="856"/>
      <c r="I744" s="856"/>
      <c r="J744" s="857"/>
      <c r="K744" s="929"/>
    </row>
    <row r="745" spans="1:11" s="930" customFormat="1" ht="15" hidden="1" customHeight="1">
      <c r="A745" s="1500"/>
      <c r="B745" s="1501"/>
      <c r="C745" s="1495"/>
      <c r="D745" s="1502"/>
      <c r="E745" s="855" t="s">
        <v>336</v>
      </c>
      <c r="F745" s="856">
        <f t="shared" si="43"/>
        <v>0</v>
      </c>
      <c r="G745" s="856"/>
      <c r="H745" s="856"/>
      <c r="I745" s="856"/>
      <c r="J745" s="857"/>
      <c r="K745" s="929"/>
    </row>
    <row r="746" spans="1:11" s="174" customFormat="1" ht="15" hidden="1" customHeight="1">
      <c r="A746" s="1500"/>
      <c r="B746" s="1501"/>
      <c r="C746" s="1495"/>
      <c r="D746" s="1502"/>
      <c r="E746" s="855" t="s">
        <v>219</v>
      </c>
      <c r="F746" s="856">
        <f t="shared" si="43"/>
        <v>0</v>
      </c>
      <c r="G746" s="856"/>
      <c r="H746" s="856"/>
      <c r="I746" s="856"/>
      <c r="J746" s="857"/>
      <c r="K746" s="926"/>
    </row>
    <row r="747" spans="1:11" s="174" customFormat="1" ht="15" hidden="1" customHeight="1">
      <c r="A747" s="1500"/>
      <c r="B747" s="1501"/>
      <c r="C747" s="1495"/>
      <c r="D747" s="1502"/>
      <c r="E747" s="855" t="s">
        <v>337</v>
      </c>
      <c r="F747" s="856">
        <f t="shared" si="43"/>
        <v>0</v>
      </c>
      <c r="G747" s="856"/>
      <c r="H747" s="856"/>
      <c r="I747" s="856"/>
      <c r="J747" s="857"/>
      <c r="K747" s="926"/>
    </row>
    <row r="748" spans="1:11" s="174" customFormat="1" ht="15" hidden="1" customHeight="1">
      <c r="A748" s="1500"/>
      <c r="B748" s="1501"/>
      <c r="C748" s="1495"/>
      <c r="D748" s="1502"/>
      <c r="E748" s="855" t="s">
        <v>221</v>
      </c>
      <c r="F748" s="856">
        <f t="shared" si="43"/>
        <v>0</v>
      </c>
      <c r="G748" s="856"/>
      <c r="H748" s="856"/>
      <c r="I748" s="856"/>
      <c r="J748" s="857"/>
      <c r="K748" s="926"/>
    </row>
    <row r="749" spans="1:11" s="928" customFormat="1" ht="15" hidden="1" customHeight="1">
      <c r="A749" s="1500"/>
      <c r="B749" s="1501"/>
      <c r="C749" s="1495"/>
      <c r="D749" s="1502"/>
      <c r="E749" s="855" t="s">
        <v>368</v>
      </c>
      <c r="F749" s="856">
        <f t="shared" si="43"/>
        <v>0</v>
      </c>
      <c r="G749" s="856"/>
      <c r="H749" s="856"/>
      <c r="I749" s="856"/>
      <c r="J749" s="857"/>
      <c r="K749" s="927"/>
    </row>
    <row r="750" spans="1:11" s="174" customFormat="1" ht="15" hidden="1" customHeight="1">
      <c r="A750" s="1500"/>
      <c r="B750" s="1501"/>
      <c r="C750" s="1495"/>
      <c r="D750" s="1502"/>
      <c r="E750" s="855" t="s">
        <v>223</v>
      </c>
      <c r="F750" s="856">
        <f t="shared" si="43"/>
        <v>0</v>
      </c>
      <c r="G750" s="856"/>
      <c r="H750" s="856"/>
      <c r="I750" s="856"/>
      <c r="J750" s="857"/>
      <c r="K750" s="926"/>
    </row>
    <row r="751" spans="1:11" s="930" customFormat="1" ht="24.95" hidden="1" customHeight="1">
      <c r="A751" s="1500"/>
      <c r="B751" s="1501"/>
      <c r="C751" s="1495"/>
      <c r="D751" s="1502"/>
      <c r="E751" s="860" t="s">
        <v>982</v>
      </c>
      <c r="F751" s="861">
        <f>SUM(F752:F779)</f>
        <v>0</v>
      </c>
      <c r="G751" s="861">
        <f>SUM(G752:G779)</f>
        <v>0</v>
      </c>
      <c r="H751" s="861">
        <f>SUM(H752:H779)</f>
        <v>0</v>
      </c>
      <c r="I751" s="861">
        <f>SUM(I752:I779)</f>
        <v>0</v>
      </c>
      <c r="J751" s="862">
        <f>SUM(J752:J779)</f>
        <v>0</v>
      </c>
      <c r="K751" s="929"/>
    </row>
    <row r="752" spans="1:11" s="930" customFormat="1" ht="15" hidden="1" customHeight="1">
      <c r="A752" s="1500"/>
      <c r="B752" s="1501"/>
      <c r="C752" s="1495"/>
      <c r="D752" s="1502"/>
      <c r="E752" s="855" t="s">
        <v>528</v>
      </c>
      <c r="F752" s="856">
        <f t="shared" ref="F752:F779" si="44">SUM(G752:J752)</f>
        <v>0</v>
      </c>
      <c r="G752" s="856"/>
      <c r="H752" s="856"/>
      <c r="I752" s="856"/>
      <c r="J752" s="857"/>
      <c r="K752" s="929"/>
    </row>
    <row r="753" spans="1:11" s="174" customFormat="1" ht="15" hidden="1" customHeight="1">
      <c r="A753" s="1500"/>
      <c r="B753" s="1501"/>
      <c r="C753" s="1495"/>
      <c r="D753" s="1502"/>
      <c r="E753" s="855" t="s">
        <v>390</v>
      </c>
      <c r="F753" s="856">
        <f t="shared" si="44"/>
        <v>0</v>
      </c>
      <c r="G753" s="856"/>
      <c r="H753" s="856"/>
      <c r="I753" s="856"/>
      <c r="J753" s="857"/>
      <c r="K753" s="926"/>
    </row>
    <row r="754" spans="1:11" s="930" customFormat="1" ht="15" hidden="1" customHeight="1">
      <c r="A754" s="1500"/>
      <c r="B754" s="1501"/>
      <c r="C754" s="1495"/>
      <c r="D754" s="1502"/>
      <c r="E754" s="855" t="s">
        <v>369</v>
      </c>
      <c r="F754" s="856">
        <f t="shared" si="44"/>
        <v>0</v>
      </c>
      <c r="G754" s="856"/>
      <c r="H754" s="856"/>
      <c r="I754" s="856"/>
      <c r="J754" s="857"/>
      <c r="K754" s="929"/>
    </row>
    <row r="755" spans="1:11" s="930" customFormat="1" ht="15" hidden="1" customHeight="1">
      <c r="A755" s="1500"/>
      <c r="B755" s="1501"/>
      <c r="C755" s="1495"/>
      <c r="D755" s="1502"/>
      <c r="E755" s="855" t="s">
        <v>228</v>
      </c>
      <c r="F755" s="856">
        <f t="shared" si="44"/>
        <v>0</v>
      </c>
      <c r="G755" s="856"/>
      <c r="H755" s="856"/>
      <c r="I755" s="856"/>
      <c r="J755" s="857"/>
      <c r="K755" s="929"/>
    </row>
    <row r="756" spans="1:11" s="174" customFormat="1" ht="15" hidden="1" customHeight="1">
      <c r="A756" s="1500"/>
      <c r="B756" s="1501"/>
      <c r="C756" s="1495"/>
      <c r="D756" s="1502"/>
      <c r="E756" s="855" t="s">
        <v>429</v>
      </c>
      <c r="F756" s="856">
        <f t="shared" si="44"/>
        <v>0</v>
      </c>
      <c r="G756" s="856"/>
      <c r="H756" s="856"/>
      <c r="I756" s="856"/>
      <c r="J756" s="857"/>
      <c r="K756" s="926"/>
    </row>
    <row r="757" spans="1:11" s="930" customFormat="1" ht="15" hidden="1" customHeight="1">
      <c r="A757" s="1500"/>
      <c r="B757" s="1501"/>
      <c r="C757" s="1495"/>
      <c r="D757" s="1502"/>
      <c r="E757" s="855" t="s">
        <v>399</v>
      </c>
      <c r="F757" s="856">
        <f t="shared" si="44"/>
        <v>0</v>
      </c>
      <c r="G757" s="856"/>
      <c r="H757" s="856"/>
      <c r="I757" s="856"/>
      <c r="J757" s="857"/>
      <c r="K757" s="929"/>
    </row>
    <row r="758" spans="1:11" s="930" customFormat="1" ht="15" hidden="1" customHeight="1">
      <c r="A758" s="1500"/>
      <c r="B758" s="1501"/>
      <c r="C758" s="1495"/>
      <c r="D758" s="1502"/>
      <c r="E758" s="855" t="s">
        <v>664</v>
      </c>
      <c r="F758" s="856">
        <f t="shared" si="44"/>
        <v>0</v>
      </c>
      <c r="G758" s="856"/>
      <c r="H758" s="856"/>
      <c r="I758" s="856"/>
      <c r="J758" s="857"/>
      <c r="K758" s="929"/>
    </row>
    <row r="759" spans="1:11" s="174" customFormat="1" ht="15" hidden="1" customHeight="1">
      <c r="A759" s="1500"/>
      <c r="B759" s="1501"/>
      <c r="C759" s="1495"/>
      <c r="D759" s="1502"/>
      <c r="E759" s="855" t="s">
        <v>230</v>
      </c>
      <c r="F759" s="856">
        <f t="shared" si="44"/>
        <v>0</v>
      </c>
      <c r="G759" s="856"/>
      <c r="H759" s="856"/>
      <c r="I759" s="856"/>
      <c r="J759" s="857"/>
    </row>
    <row r="760" spans="1:11" s="174" customFormat="1" ht="15" hidden="1" customHeight="1">
      <c r="A760" s="1500"/>
      <c r="B760" s="1501"/>
      <c r="C760" s="1495"/>
      <c r="D760" s="1502"/>
      <c r="E760" s="855" t="s">
        <v>531</v>
      </c>
      <c r="F760" s="856">
        <f t="shared" si="44"/>
        <v>0</v>
      </c>
      <c r="G760" s="856"/>
      <c r="H760" s="856"/>
      <c r="I760" s="856"/>
      <c r="J760" s="857"/>
    </row>
    <row r="761" spans="1:11" s="174" customFormat="1" ht="15" hidden="1" customHeight="1">
      <c r="A761" s="1500"/>
      <c r="B761" s="1501"/>
      <c r="C761" s="1495"/>
      <c r="D761" s="1502"/>
      <c r="E761" s="855" t="s">
        <v>401</v>
      </c>
      <c r="F761" s="856">
        <f t="shared" si="44"/>
        <v>0</v>
      </c>
      <c r="G761" s="856"/>
      <c r="H761" s="856"/>
      <c r="I761" s="856"/>
      <c r="J761" s="857"/>
    </row>
    <row r="762" spans="1:11" s="174" customFormat="1" ht="15" hidden="1" customHeight="1">
      <c r="A762" s="1500"/>
      <c r="B762" s="1501"/>
      <c r="C762" s="1495"/>
      <c r="D762" s="1502"/>
      <c r="E762" s="855" t="s">
        <v>338</v>
      </c>
      <c r="F762" s="856">
        <f t="shared" si="44"/>
        <v>0</v>
      </c>
      <c r="G762" s="856"/>
      <c r="H762" s="856"/>
      <c r="I762" s="856"/>
      <c r="J762" s="857"/>
    </row>
    <row r="763" spans="1:11" s="174" customFormat="1" ht="15" hidden="1" customHeight="1">
      <c r="A763" s="1500"/>
      <c r="B763" s="1501"/>
      <c r="C763" s="1495"/>
      <c r="D763" s="1502"/>
      <c r="E763" s="855" t="s">
        <v>232</v>
      </c>
      <c r="F763" s="856">
        <f t="shared" si="44"/>
        <v>0</v>
      </c>
      <c r="G763" s="856"/>
      <c r="H763" s="856"/>
      <c r="I763" s="856"/>
      <c r="J763" s="857"/>
    </row>
    <row r="764" spans="1:11" s="174" customFormat="1" ht="15" hidden="1" customHeight="1">
      <c r="A764" s="1500"/>
      <c r="B764" s="1501"/>
      <c r="C764" s="1495"/>
      <c r="D764" s="1502"/>
      <c r="E764" s="855" t="s">
        <v>430</v>
      </c>
      <c r="F764" s="856">
        <f t="shared" si="44"/>
        <v>0</v>
      </c>
      <c r="G764" s="856"/>
      <c r="H764" s="856"/>
      <c r="I764" s="856"/>
      <c r="J764" s="857"/>
    </row>
    <row r="765" spans="1:11" s="174" customFormat="1" ht="15" hidden="1" customHeight="1">
      <c r="A765" s="1500"/>
      <c r="B765" s="1501"/>
      <c r="C765" s="1495"/>
      <c r="D765" s="1502"/>
      <c r="E765" s="855" t="s">
        <v>269</v>
      </c>
      <c r="F765" s="856">
        <f t="shared" si="44"/>
        <v>0</v>
      </c>
      <c r="G765" s="856"/>
      <c r="H765" s="856"/>
      <c r="I765" s="856"/>
      <c r="J765" s="857"/>
    </row>
    <row r="766" spans="1:11" s="174" customFormat="1" ht="15" hidden="1" customHeight="1">
      <c r="A766" s="1500"/>
      <c r="B766" s="1501"/>
      <c r="C766" s="1495"/>
      <c r="D766" s="1502"/>
      <c r="E766" s="855" t="s">
        <v>532</v>
      </c>
      <c r="F766" s="856">
        <f t="shared" si="44"/>
        <v>0</v>
      </c>
      <c r="G766" s="856"/>
      <c r="H766" s="856"/>
      <c r="I766" s="856"/>
      <c r="J766" s="857"/>
    </row>
    <row r="767" spans="1:11" s="174" customFormat="1" ht="15" hidden="1" customHeight="1">
      <c r="A767" s="1500"/>
      <c r="B767" s="1501"/>
      <c r="C767" s="1495"/>
      <c r="D767" s="1502"/>
      <c r="E767" s="855" t="s">
        <v>271</v>
      </c>
      <c r="F767" s="856">
        <f t="shared" si="44"/>
        <v>0</v>
      </c>
      <c r="G767" s="856"/>
      <c r="H767" s="856"/>
      <c r="I767" s="856"/>
      <c r="J767" s="857"/>
    </row>
    <row r="768" spans="1:11" s="174" customFormat="1" ht="15" hidden="1" customHeight="1">
      <c r="A768" s="1500"/>
      <c r="B768" s="1501"/>
      <c r="C768" s="1495"/>
      <c r="D768" s="1502"/>
      <c r="E768" s="855" t="s">
        <v>431</v>
      </c>
      <c r="F768" s="856">
        <f t="shared" si="44"/>
        <v>0</v>
      </c>
      <c r="G768" s="856"/>
      <c r="H768" s="856"/>
      <c r="I768" s="856"/>
      <c r="J768" s="857"/>
    </row>
    <row r="769" spans="1:10" s="174" customFormat="1" ht="15" hidden="1" customHeight="1">
      <c r="A769" s="1500"/>
      <c r="B769" s="1501"/>
      <c r="C769" s="1495"/>
      <c r="D769" s="1502"/>
      <c r="E769" s="855" t="s">
        <v>432</v>
      </c>
      <c r="F769" s="856">
        <f t="shared" si="44"/>
        <v>0</v>
      </c>
      <c r="G769" s="856"/>
      <c r="H769" s="856"/>
      <c r="I769" s="856"/>
      <c r="J769" s="857"/>
    </row>
    <row r="770" spans="1:10" s="174" customFormat="1" ht="15" hidden="1" customHeight="1">
      <c r="A770" s="1500"/>
      <c r="B770" s="1501"/>
      <c r="C770" s="1495"/>
      <c r="D770" s="1502"/>
      <c r="E770" s="855" t="s">
        <v>433</v>
      </c>
      <c r="F770" s="856">
        <f t="shared" si="44"/>
        <v>0</v>
      </c>
      <c r="G770" s="856"/>
      <c r="H770" s="856"/>
      <c r="I770" s="856"/>
      <c r="J770" s="857"/>
    </row>
    <row r="771" spans="1:10" s="174" customFormat="1" ht="15" hidden="1" customHeight="1">
      <c r="A771" s="1500"/>
      <c r="B771" s="1501"/>
      <c r="C771" s="1495"/>
      <c r="D771" s="1502"/>
      <c r="E771" s="855" t="s">
        <v>416</v>
      </c>
      <c r="F771" s="856">
        <f t="shared" si="44"/>
        <v>0</v>
      </c>
      <c r="G771" s="856"/>
      <c r="H771" s="856"/>
      <c r="I771" s="856"/>
      <c r="J771" s="857"/>
    </row>
    <row r="772" spans="1:10" s="174" customFormat="1" ht="15" hidden="1" customHeight="1">
      <c r="A772" s="1500"/>
      <c r="B772" s="1501"/>
      <c r="C772" s="1495"/>
      <c r="D772" s="1502"/>
      <c r="E772" s="855" t="s">
        <v>339</v>
      </c>
      <c r="F772" s="856">
        <f t="shared" si="44"/>
        <v>0</v>
      </c>
      <c r="G772" s="856"/>
      <c r="H772" s="856"/>
      <c r="I772" s="856"/>
      <c r="J772" s="857"/>
    </row>
    <row r="773" spans="1:10" s="174" customFormat="1" ht="15" hidden="1" customHeight="1">
      <c r="A773" s="1500"/>
      <c r="B773" s="1501"/>
      <c r="C773" s="1495"/>
      <c r="D773" s="1502"/>
      <c r="E773" s="855" t="s">
        <v>234</v>
      </c>
      <c r="F773" s="856">
        <f t="shared" si="44"/>
        <v>0</v>
      </c>
      <c r="G773" s="856"/>
      <c r="H773" s="856"/>
      <c r="I773" s="856"/>
      <c r="J773" s="857"/>
    </row>
    <row r="774" spans="1:10" s="174" customFormat="1" ht="15" hidden="1" customHeight="1">
      <c r="A774" s="1500"/>
      <c r="B774" s="1501"/>
      <c r="C774" s="1495"/>
      <c r="D774" s="1502"/>
      <c r="E774" s="855" t="s">
        <v>665</v>
      </c>
      <c r="F774" s="856">
        <f t="shared" si="44"/>
        <v>0</v>
      </c>
      <c r="G774" s="856"/>
      <c r="H774" s="856"/>
      <c r="I774" s="856"/>
      <c r="J774" s="857"/>
    </row>
    <row r="775" spans="1:10" s="174" customFormat="1" ht="15" hidden="1" customHeight="1">
      <c r="A775" s="1500"/>
      <c r="B775" s="1501"/>
      <c r="C775" s="1495"/>
      <c r="D775" s="1502"/>
      <c r="E775" s="855" t="s">
        <v>236</v>
      </c>
      <c r="F775" s="856">
        <f t="shared" si="44"/>
        <v>0</v>
      </c>
      <c r="G775" s="856"/>
      <c r="H775" s="856"/>
      <c r="I775" s="856"/>
      <c r="J775" s="857"/>
    </row>
    <row r="776" spans="1:10" s="174" customFormat="1" ht="15" hidden="1" customHeight="1">
      <c r="A776" s="1500"/>
      <c r="B776" s="1501"/>
      <c r="C776" s="1495"/>
      <c r="D776" s="1502"/>
      <c r="E776" s="855" t="s">
        <v>434</v>
      </c>
      <c r="F776" s="856">
        <f t="shared" si="44"/>
        <v>0</v>
      </c>
      <c r="G776" s="856"/>
      <c r="H776" s="856"/>
      <c r="I776" s="856"/>
      <c r="J776" s="857"/>
    </row>
    <row r="777" spans="1:10" s="174" customFormat="1" ht="15" hidden="1" customHeight="1">
      <c r="A777" s="1500"/>
      <c r="B777" s="1501"/>
      <c r="C777" s="1495"/>
      <c r="D777" s="1502"/>
      <c r="E777" s="855" t="s">
        <v>435</v>
      </c>
      <c r="F777" s="856">
        <f t="shared" si="44"/>
        <v>0</v>
      </c>
      <c r="G777" s="856"/>
      <c r="H777" s="856"/>
      <c r="I777" s="856"/>
      <c r="J777" s="857"/>
    </row>
    <row r="778" spans="1:10" s="174" customFormat="1" ht="15" hidden="1" customHeight="1">
      <c r="A778" s="1500"/>
      <c r="B778" s="1501"/>
      <c r="C778" s="1495"/>
      <c r="D778" s="1502"/>
      <c r="E778" s="855" t="s">
        <v>542</v>
      </c>
      <c r="F778" s="856">
        <f t="shared" si="44"/>
        <v>0</v>
      </c>
      <c r="G778" s="856"/>
      <c r="H778" s="856"/>
      <c r="I778" s="856"/>
      <c r="J778" s="857"/>
    </row>
    <row r="779" spans="1:10" s="174" customFormat="1" ht="15" hidden="1" customHeight="1">
      <c r="A779" s="1500"/>
      <c r="B779" s="1501"/>
      <c r="C779" s="1495"/>
      <c r="D779" s="1502"/>
      <c r="E779" s="855" t="s">
        <v>421</v>
      </c>
      <c r="F779" s="856">
        <f t="shared" si="44"/>
        <v>0</v>
      </c>
      <c r="G779" s="856"/>
      <c r="H779" s="856"/>
      <c r="I779" s="856"/>
      <c r="J779" s="857"/>
    </row>
    <row r="780" spans="1:10" s="174" customFormat="1" ht="24.95" hidden="1" customHeight="1">
      <c r="A780" s="1500"/>
      <c r="B780" s="1501"/>
      <c r="C780" s="1495"/>
      <c r="D780" s="1502"/>
      <c r="E780" s="858" t="s">
        <v>977</v>
      </c>
      <c r="F780" s="852">
        <f>SUM(F781:F782)</f>
        <v>0</v>
      </c>
      <c r="G780" s="852">
        <f>SUM(G781:G782)</f>
        <v>0</v>
      </c>
      <c r="H780" s="852">
        <f>SUM(H781:H782)</f>
        <v>0</v>
      </c>
      <c r="I780" s="852">
        <f>SUM(I781:I782)</f>
        <v>0</v>
      </c>
      <c r="J780" s="853">
        <f>SUM(J781:J782)</f>
        <v>0</v>
      </c>
    </row>
    <row r="781" spans="1:10" s="174" customFormat="1" ht="15" hidden="1" customHeight="1">
      <c r="A781" s="1500"/>
      <c r="B781" s="1501"/>
      <c r="C781" s="1495"/>
      <c r="D781" s="1502"/>
      <c r="E781" s="855"/>
      <c r="F781" s="856">
        <f>SUM(G781:J781)</f>
        <v>0</v>
      </c>
      <c r="G781" s="856"/>
      <c r="H781" s="856"/>
      <c r="I781" s="856"/>
      <c r="J781" s="857"/>
    </row>
    <row r="782" spans="1:10" s="174" customFormat="1" ht="15" hidden="1" customHeight="1" thickBot="1">
      <c r="A782" s="1500"/>
      <c r="B782" s="1501"/>
      <c r="C782" s="1495"/>
      <c r="D782" s="1502"/>
      <c r="E782" s="897"/>
      <c r="F782" s="856">
        <f>SUM(G782:J782)</f>
        <v>0</v>
      </c>
      <c r="G782" s="856"/>
      <c r="H782" s="856"/>
      <c r="I782" s="856"/>
      <c r="J782" s="857"/>
    </row>
    <row r="783" spans="1:10" s="174" customFormat="1" ht="24.95" customHeight="1">
      <c r="A783" s="907" t="s">
        <v>1046</v>
      </c>
      <c r="B783" s="1537" t="s">
        <v>1047</v>
      </c>
      <c r="C783" s="1537"/>
      <c r="D783" s="1537"/>
      <c r="E783" s="1537"/>
      <c r="F783" s="908">
        <f>F785+F808</f>
        <v>27053</v>
      </c>
      <c r="G783" s="908">
        <f t="shared" ref="G783:J783" si="45">G785+G808</f>
        <v>0</v>
      </c>
      <c r="H783" s="908">
        <f t="shared" si="45"/>
        <v>27053</v>
      </c>
      <c r="I783" s="908">
        <f t="shared" si="45"/>
        <v>0</v>
      </c>
      <c r="J783" s="909">
        <f t="shared" si="45"/>
        <v>0</v>
      </c>
    </row>
    <row r="784" spans="1:10" s="174" customFormat="1" ht="15" customHeight="1">
      <c r="A784" s="1538"/>
      <c r="B784" s="1539"/>
      <c r="C784" s="1539"/>
      <c r="D784" s="1539"/>
      <c r="E784" s="1539"/>
      <c r="F784" s="1539"/>
      <c r="G784" s="1539"/>
      <c r="H784" s="1539"/>
      <c r="I784" s="1539"/>
      <c r="J784" s="1540"/>
    </row>
    <row r="785" spans="1:10" s="174" customFormat="1" ht="24.95" hidden="1" customHeight="1">
      <c r="A785" s="1503"/>
      <c r="B785" s="1506"/>
      <c r="C785" s="1516">
        <v>801</v>
      </c>
      <c r="D785" s="1542" t="s">
        <v>525</v>
      </c>
      <c r="E785" s="846" t="s">
        <v>976</v>
      </c>
      <c r="F785" s="847">
        <f>SUM(F786,F805)</f>
        <v>0</v>
      </c>
      <c r="G785" s="847">
        <f>SUM(G786,G805)</f>
        <v>0</v>
      </c>
      <c r="H785" s="847">
        <f>SUM(H786,H805)</f>
        <v>0</v>
      </c>
      <c r="I785" s="847">
        <f>SUM(I786,I805)</f>
        <v>0</v>
      </c>
      <c r="J785" s="848">
        <f>SUM(J786,J805)</f>
        <v>0</v>
      </c>
    </row>
    <row r="786" spans="1:10" s="174" customFormat="1" ht="24.95" hidden="1" customHeight="1">
      <c r="A786" s="1504"/>
      <c r="B786" s="1507"/>
      <c r="C786" s="1541"/>
      <c r="D786" s="1543"/>
      <c r="E786" s="851" t="s">
        <v>990</v>
      </c>
      <c r="F786" s="852">
        <f>SUM(F787,F793)</f>
        <v>0</v>
      </c>
      <c r="G786" s="852">
        <f>SUM(G787,G793)</f>
        <v>0</v>
      </c>
      <c r="H786" s="852">
        <f>SUM(H787,H793)</f>
        <v>0</v>
      </c>
      <c r="I786" s="852">
        <f>SUM(I787,I793)</f>
        <v>0</v>
      </c>
      <c r="J786" s="853">
        <f>SUM(J787,J793)</f>
        <v>0</v>
      </c>
    </row>
    <row r="787" spans="1:10" s="174" customFormat="1" ht="24.95" hidden="1" customHeight="1">
      <c r="A787" s="1504"/>
      <c r="B787" s="1507"/>
      <c r="C787" s="1541"/>
      <c r="D787" s="1543"/>
      <c r="E787" s="860" t="s">
        <v>981</v>
      </c>
      <c r="F787" s="861">
        <f>SUM(F788:F792)</f>
        <v>0</v>
      </c>
      <c r="G787" s="861">
        <f>SUM(G788:G792)</f>
        <v>0</v>
      </c>
      <c r="H787" s="861">
        <f>SUM(H788:H792)</f>
        <v>0</v>
      </c>
      <c r="I787" s="861">
        <f>SUM(I788:I792)</f>
        <v>0</v>
      </c>
      <c r="J787" s="862">
        <f>SUM(J788:J792)</f>
        <v>0</v>
      </c>
    </row>
    <row r="788" spans="1:10" s="174" customFormat="1" ht="15" hidden="1" customHeight="1">
      <c r="A788" s="1504"/>
      <c r="B788" s="1507"/>
      <c r="C788" s="1541"/>
      <c r="D788" s="1543"/>
      <c r="E788" s="855" t="s">
        <v>335</v>
      </c>
      <c r="F788" s="856">
        <f>SUM(G788:J788)</f>
        <v>0</v>
      </c>
      <c r="G788" s="856"/>
      <c r="H788" s="856"/>
      <c r="I788" s="856"/>
      <c r="J788" s="857"/>
    </row>
    <row r="789" spans="1:10" s="174" customFormat="1" ht="15" hidden="1" customHeight="1">
      <c r="A789" s="1504"/>
      <c r="B789" s="1507"/>
      <c r="C789" s="1541"/>
      <c r="D789" s="1543"/>
      <c r="E789" s="855" t="s">
        <v>428</v>
      </c>
      <c r="F789" s="856">
        <f>SUM(G789:J789)</f>
        <v>0</v>
      </c>
      <c r="G789" s="856"/>
      <c r="H789" s="856"/>
      <c r="I789" s="856"/>
      <c r="J789" s="857"/>
    </row>
    <row r="790" spans="1:10" s="174" customFormat="1" ht="15" hidden="1" customHeight="1">
      <c r="A790" s="1504"/>
      <c r="B790" s="1507"/>
      <c r="C790" s="1541"/>
      <c r="D790" s="1543"/>
      <c r="E790" s="855" t="s">
        <v>336</v>
      </c>
      <c r="F790" s="856">
        <f>SUM(G790:J790)</f>
        <v>0</v>
      </c>
      <c r="G790" s="856"/>
      <c r="H790" s="856"/>
      <c r="I790" s="856"/>
      <c r="J790" s="857"/>
    </row>
    <row r="791" spans="1:10" s="174" customFormat="1" ht="15" hidden="1" customHeight="1">
      <c r="A791" s="1504"/>
      <c r="B791" s="1507"/>
      <c r="C791" s="1541"/>
      <c r="D791" s="1543"/>
      <c r="E791" s="855" t="s">
        <v>337</v>
      </c>
      <c r="F791" s="856">
        <f>SUM(G791:J791)</f>
        <v>0</v>
      </c>
      <c r="G791" s="856"/>
      <c r="H791" s="856"/>
      <c r="I791" s="856"/>
      <c r="J791" s="857"/>
    </row>
    <row r="792" spans="1:10" s="174" customFormat="1" ht="15" hidden="1" customHeight="1">
      <c r="A792" s="1504"/>
      <c r="B792" s="1507"/>
      <c r="C792" s="1541"/>
      <c r="D792" s="1543"/>
      <c r="E792" s="855" t="s">
        <v>368</v>
      </c>
      <c r="F792" s="856">
        <f>SUM(G792:J792)</f>
        <v>0</v>
      </c>
      <c r="G792" s="856"/>
      <c r="H792" s="856"/>
      <c r="I792" s="856"/>
      <c r="J792" s="857"/>
    </row>
    <row r="793" spans="1:10" s="174" customFormat="1" ht="24.95" hidden="1" customHeight="1">
      <c r="A793" s="1504"/>
      <c r="B793" s="1507"/>
      <c r="C793" s="1541"/>
      <c r="D793" s="1543"/>
      <c r="E793" s="860" t="s">
        <v>982</v>
      </c>
      <c r="F793" s="861">
        <f>SUM(F794:F804)</f>
        <v>0</v>
      </c>
      <c r="G793" s="861">
        <f>SUM(G794:G804)</f>
        <v>0</v>
      </c>
      <c r="H793" s="861">
        <f>SUM(H794:H804)</f>
        <v>0</v>
      </c>
      <c r="I793" s="861">
        <f>SUM(I794:I804)</f>
        <v>0</v>
      </c>
      <c r="J793" s="862">
        <f>SUM(J794:J804)</f>
        <v>0</v>
      </c>
    </row>
    <row r="794" spans="1:10" s="174" customFormat="1" ht="15" hidden="1" customHeight="1">
      <c r="A794" s="1504"/>
      <c r="B794" s="1507"/>
      <c r="C794" s="1541"/>
      <c r="D794" s="1543"/>
      <c r="E794" s="855" t="s">
        <v>528</v>
      </c>
      <c r="F794" s="856">
        <f t="shared" ref="F794:F804" si="46">SUM(G794:J794)</f>
        <v>0</v>
      </c>
      <c r="G794" s="856"/>
      <c r="H794" s="856"/>
      <c r="I794" s="856"/>
      <c r="J794" s="857"/>
    </row>
    <row r="795" spans="1:10" s="174" customFormat="1" ht="15" hidden="1" customHeight="1">
      <c r="A795" s="1504"/>
      <c r="B795" s="1507"/>
      <c r="C795" s="1541"/>
      <c r="D795" s="1543"/>
      <c r="E795" s="855" t="s">
        <v>369</v>
      </c>
      <c r="F795" s="856">
        <f t="shared" si="46"/>
        <v>0</v>
      </c>
      <c r="G795" s="856"/>
      <c r="H795" s="856"/>
      <c r="I795" s="856"/>
      <c r="J795" s="857"/>
    </row>
    <row r="796" spans="1:10" s="174" customFormat="1" ht="15" hidden="1" customHeight="1">
      <c r="A796" s="1504"/>
      <c r="B796" s="1507"/>
      <c r="C796" s="1541"/>
      <c r="D796" s="1543"/>
      <c r="E796" s="855" t="s">
        <v>529</v>
      </c>
      <c r="F796" s="856">
        <f t="shared" si="46"/>
        <v>0</v>
      </c>
      <c r="G796" s="856"/>
      <c r="H796" s="856"/>
      <c r="I796" s="856"/>
      <c r="J796" s="857"/>
    </row>
    <row r="797" spans="1:10" s="174" customFormat="1" ht="15" hidden="1" customHeight="1">
      <c r="A797" s="1504"/>
      <c r="B797" s="1507"/>
      <c r="C797" s="1541"/>
      <c r="D797" s="1543"/>
      <c r="E797" s="855" t="s">
        <v>429</v>
      </c>
      <c r="F797" s="856">
        <f t="shared" si="46"/>
        <v>0</v>
      </c>
      <c r="G797" s="856"/>
      <c r="H797" s="856"/>
      <c r="I797" s="856"/>
      <c r="J797" s="857"/>
    </row>
    <row r="798" spans="1:10" s="174" customFormat="1" ht="15" hidden="1" customHeight="1">
      <c r="A798" s="1504"/>
      <c r="B798" s="1507"/>
      <c r="C798" s="1541"/>
      <c r="D798" s="1543"/>
      <c r="E798" s="855" t="s">
        <v>531</v>
      </c>
      <c r="F798" s="856">
        <f t="shared" si="46"/>
        <v>0</v>
      </c>
      <c r="G798" s="856"/>
      <c r="H798" s="856"/>
      <c r="I798" s="856"/>
      <c r="J798" s="857"/>
    </row>
    <row r="799" spans="1:10" s="174" customFormat="1" ht="15" hidden="1" customHeight="1">
      <c r="A799" s="1504"/>
      <c r="B799" s="1507"/>
      <c r="C799" s="1541"/>
      <c r="D799" s="1543"/>
      <c r="E799" s="855" t="s">
        <v>338</v>
      </c>
      <c r="F799" s="856">
        <f t="shared" si="46"/>
        <v>0</v>
      </c>
      <c r="G799" s="856"/>
      <c r="H799" s="856"/>
      <c r="I799" s="856"/>
      <c r="J799" s="857"/>
    </row>
    <row r="800" spans="1:10" s="174" customFormat="1" ht="15" hidden="1" customHeight="1">
      <c r="A800" s="1504"/>
      <c r="B800" s="1507"/>
      <c r="C800" s="1541"/>
      <c r="D800" s="1543"/>
      <c r="E800" s="855" t="s">
        <v>430</v>
      </c>
      <c r="F800" s="856">
        <f t="shared" si="46"/>
        <v>0</v>
      </c>
      <c r="G800" s="856"/>
      <c r="H800" s="856"/>
      <c r="I800" s="856"/>
      <c r="J800" s="857"/>
    </row>
    <row r="801" spans="1:10" s="174" customFormat="1" ht="15" hidden="1" customHeight="1">
      <c r="A801" s="1504"/>
      <c r="B801" s="1507"/>
      <c r="C801" s="1541"/>
      <c r="D801" s="1543"/>
      <c r="E801" s="855" t="s">
        <v>532</v>
      </c>
      <c r="F801" s="856">
        <f t="shared" si="46"/>
        <v>0</v>
      </c>
      <c r="G801" s="856"/>
      <c r="H801" s="856"/>
      <c r="I801" s="856"/>
      <c r="J801" s="857"/>
    </row>
    <row r="802" spans="1:10" s="174" customFormat="1" ht="15" hidden="1" customHeight="1">
      <c r="A802" s="1504"/>
      <c r="B802" s="1507"/>
      <c r="C802" s="1541"/>
      <c r="D802" s="1543"/>
      <c r="E802" s="855" t="s">
        <v>431</v>
      </c>
      <c r="F802" s="856">
        <f t="shared" si="46"/>
        <v>0</v>
      </c>
      <c r="G802" s="856"/>
      <c r="H802" s="856"/>
      <c r="I802" s="856"/>
      <c r="J802" s="857"/>
    </row>
    <row r="803" spans="1:10" s="174" customFormat="1" ht="15" hidden="1" customHeight="1">
      <c r="A803" s="1504"/>
      <c r="B803" s="1507"/>
      <c r="C803" s="1541"/>
      <c r="D803" s="1543"/>
      <c r="E803" s="855" t="s">
        <v>339</v>
      </c>
      <c r="F803" s="856">
        <f t="shared" si="46"/>
        <v>0</v>
      </c>
      <c r="G803" s="856"/>
      <c r="H803" s="856"/>
      <c r="I803" s="856"/>
      <c r="J803" s="857"/>
    </row>
    <row r="804" spans="1:10" s="174" customFormat="1" ht="15" hidden="1" customHeight="1">
      <c r="A804" s="1504"/>
      <c r="B804" s="1507"/>
      <c r="C804" s="1541"/>
      <c r="D804" s="1543"/>
      <c r="E804" s="855" t="s">
        <v>434</v>
      </c>
      <c r="F804" s="856">
        <f t="shared" si="46"/>
        <v>0</v>
      </c>
      <c r="G804" s="856"/>
      <c r="H804" s="856"/>
      <c r="I804" s="856"/>
      <c r="J804" s="857"/>
    </row>
    <row r="805" spans="1:10" s="174" customFormat="1" ht="24.95" hidden="1" customHeight="1">
      <c r="A805" s="1504"/>
      <c r="B805" s="1507"/>
      <c r="C805" s="1541"/>
      <c r="D805" s="1543"/>
      <c r="E805" s="858" t="s">
        <v>977</v>
      </c>
      <c r="F805" s="852">
        <f>SUM(F806:F807)</f>
        <v>0</v>
      </c>
      <c r="G805" s="852">
        <f>SUM(G806:G807)</f>
        <v>0</v>
      </c>
      <c r="H805" s="852">
        <f>SUM(H806:H807)</f>
        <v>0</v>
      </c>
      <c r="I805" s="852">
        <f>SUM(I806:I807)</f>
        <v>0</v>
      </c>
      <c r="J805" s="853">
        <f>SUM(J806:J807)</f>
        <v>0</v>
      </c>
    </row>
    <row r="806" spans="1:10" s="174" customFormat="1" ht="15" hidden="1" customHeight="1">
      <c r="A806" s="1504"/>
      <c r="B806" s="1507"/>
      <c r="C806" s="1541"/>
      <c r="D806" s="1543"/>
      <c r="E806" s="855"/>
      <c r="F806" s="856">
        <f>SUM(G806:J806)</f>
        <v>0</v>
      </c>
      <c r="G806" s="856"/>
      <c r="H806" s="856"/>
      <c r="I806" s="856"/>
      <c r="J806" s="857"/>
    </row>
    <row r="807" spans="1:10" s="174" customFormat="1" ht="15" hidden="1" customHeight="1">
      <c r="A807" s="1505"/>
      <c r="B807" s="1508"/>
      <c r="C807" s="1517"/>
      <c r="D807" s="1544"/>
      <c r="E807" s="910"/>
      <c r="F807" s="911">
        <f>SUM(G807:J807)</f>
        <v>0</v>
      </c>
      <c r="G807" s="911"/>
      <c r="H807" s="911"/>
      <c r="I807" s="911"/>
      <c r="J807" s="912"/>
    </row>
    <row r="808" spans="1:10" s="174" customFormat="1" ht="24.95" customHeight="1">
      <c r="A808" s="1500" t="s">
        <v>974</v>
      </c>
      <c r="B808" s="1501" t="s">
        <v>1048</v>
      </c>
      <c r="C808" s="1495">
        <v>801</v>
      </c>
      <c r="D808" s="1502" t="s">
        <v>535</v>
      </c>
      <c r="E808" s="846" t="s">
        <v>976</v>
      </c>
      <c r="F808" s="847">
        <f>SUM(F809,F820)</f>
        <v>27053</v>
      </c>
      <c r="G808" s="847">
        <f>SUM(G809,G820)</f>
        <v>0</v>
      </c>
      <c r="H808" s="847">
        <f>SUM(H809,H820)</f>
        <v>27053</v>
      </c>
      <c r="I808" s="847">
        <f>SUM(I809,I820)</f>
        <v>0</v>
      </c>
      <c r="J808" s="848">
        <f>SUM(J809,J820)</f>
        <v>0</v>
      </c>
    </row>
    <row r="809" spans="1:10" s="174" customFormat="1" ht="24.95" customHeight="1">
      <c r="A809" s="1500"/>
      <c r="B809" s="1501"/>
      <c r="C809" s="1495"/>
      <c r="D809" s="1502"/>
      <c r="E809" s="851" t="s">
        <v>990</v>
      </c>
      <c r="F809" s="852">
        <f>SUM(F810,F813,F817)</f>
        <v>27053</v>
      </c>
      <c r="G809" s="852">
        <f>SUM(G810,G813,G817)</f>
        <v>0</v>
      </c>
      <c r="H809" s="852">
        <f>SUM(H810,H813,H817)</f>
        <v>27053</v>
      </c>
      <c r="I809" s="852">
        <f>SUM(I810,I813,I817)</f>
        <v>0</v>
      </c>
      <c r="J809" s="853">
        <f>SUM(J810,J813,J817)</f>
        <v>0</v>
      </c>
    </row>
    <row r="810" spans="1:10" s="174" customFormat="1" ht="24.95" hidden="1" customHeight="1">
      <c r="A810" s="1500"/>
      <c r="B810" s="1501"/>
      <c r="C810" s="1495"/>
      <c r="D810" s="1502"/>
      <c r="E810" s="860" t="s">
        <v>991</v>
      </c>
      <c r="F810" s="861">
        <f>SUM(F811:F812)</f>
        <v>0</v>
      </c>
      <c r="G810" s="861">
        <f>SUM(G811:G812)</f>
        <v>0</v>
      </c>
      <c r="H810" s="861">
        <f>SUM(H811:H812)</f>
        <v>0</v>
      </c>
      <c r="I810" s="861">
        <f>SUM(I811:I812)</f>
        <v>0</v>
      </c>
      <c r="J810" s="862">
        <f>SUM(J811:J812)</f>
        <v>0</v>
      </c>
    </row>
    <row r="811" spans="1:10" s="174" customFormat="1" ht="15" hidden="1" customHeight="1">
      <c r="A811" s="1500"/>
      <c r="B811" s="1501"/>
      <c r="C811" s="1495"/>
      <c r="D811" s="1502"/>
      <c r="E811" s="906" t="s">
        <v>527</v>
      </c>
      <c r="F811" s="856">
        <f>SUM(G811:J811)</f>
        <v>0</v>
      </c>
      <c r="G811" s="856"/>
      <c r="H811" s="856"/>
      <c r="I811" s="856"/>
      <c r="J811" s="857"/>
    </row>
    <row r="812" spans="1:10" s="174" customFormat="1" ht="15" hidden="1" customHeight="1">
      <c r="A812" s="1500"/>
      <c r="B812" s="1501"/>
      <c r="C812" s="1495"/>
      <c r="D812" s="1502"/>
      <c r="E812" s="906" t="s">
        <v>279</v>
      </c>
      <c r="F812" s="856">
        <f>SUM(G812:J812)</f>
        <v>0</v>
      </c>
      <c r="G812" s="856"/>
      <c r="H812" s="856"/>
      <c r="I812" s="856"/>
      <c r="J812" s="857"/>
    </row>
    <row r="813" spans="1:10" s="174" customFormat="1" ht="24.95" customHeight="1">
      <c r="A813" s="1500"/>
      <c r="B813" s="1501"/>
      <c r="C813" s="1495"/>
      <c r="D813" s="1502"/>
      <c r="E813" s="860" t="s">
        <v>981</v>
      </c>
      <c r="F813" s="861">
        <f>SUM(F814:F816)</f>
        <v>20936</v>
      </c>
      <c r="G813" s="861">
        <f>SUM(G814:G816)</f>
        <v>0</v>
      </c>
      <c r="H813" s="861">
        <f>SUM(H814:H816)</f>
        <v>20936</v>
      </c>
      <c r="I813" s="861">
        <f>SUM(I814:I816)</f>
        <v>0</v>
      </c>
      <c r="J813" s="862">
        <f>SUM(J814:J816)</f>
        <v>0</v>
      </c>
    </row>
    <row r="814" spans="1:10" s="174" customFormat="1" ht="15" customHeight="1">
      <c r="A814" s="1500"/>
      <c r="B814" s="1501"/>
      <c r="C814" s="1495"/>
      <c r="D814" s="1502"/>
      <c r="E814" s="855" t="s">
        <v>538</v>
      </c>
      <c r="F814" s="856">
        <f t="shared" ref="F814:F816" si="47">SUM(G814:J814)</f>
        <v>3008</v>
      </c>
      <c r="G814" s="856"/>
      <c r="H814" s="856">
        <v>3008</v>
      </c>
      <c r="I814" s="856"/>
      <c r="J814" s="857"/>
    </row>
    <row r="815" spans="1:10" s="174" customFormat="1" ht="15" customHeight="1">
      <c r="A815" s="1500"/>
      <c r="B815" s="1501"/>
      <c r="C815" s="1495"/>
      <c r="D815" s="1502"/>
      <c r="E815" s="855" t="s">
        <v>539</v>
      </c>
      <c r="F815" s="856">
        <f t="shared" si="47"/>
        <v>428</v>
      </c>
      <c r="G815" s="856"/>
      <c r="H815" s="856">
        <v>428</v>
      </c>
      <c r="I815" s="856"/>
      <c r="J815" s="857"/>
    </row>
    <row r="816" spans="1:10" s="174" customFormat="1" ht="15" customHeight="1">
      <c r="A816" s="1500"/>
      <c r="B816" s="1501"/>
      <c r="C816" s="1495"/>
      <c r="D816" s="1502"/>
      <c r="E816" s="855" t="s">
        <v>540</v>
      </c>
      <c r="F816" s="856">
        <f t="shared" si="47"/>
        <v>17500</v>
      </c>
      <c r="G816" s="856"/>
      <c r="H816" s="856">
        <v>17500</v>
      </c>
      <c r="I816" s="856"/>
      <c r="J816" s="857"/>
    </row>
    <row r="817" spans="1:11" s="174" customFormat="1" ht="24.95" customHeight="1">
      <c r="A817" s="1500"/>
      <c r="B817" s="1501"/>
      <c r="C817" s="1495"/>
      <c r="D817" s="1502"/>
      <c r="E817" s="860" t="s">
        <v>982</v>
      </c>
      <c r="F817" s="861">
        <f>SUM(F818:F819)</f>
        <v>6117</v>
      </c>
      <c r="G817" s="861">
        <f>SUM(G818:G819)</f>
        <v>0</v>
      </c>
      <c r="H817" s="861">
        <f>SUM(H818:H819)</f>
        <v>6117</v>
      </c>
      <c r="I817" s="861">
        <f>SUM(I818:I819)</f>
        <v>0</v>
      </c>
      <c r="J817" s="862">
        <f>SUM(J818:J819)</f>
        <v>0</v>
      </c>
    </row>
    <row r="818" spans="1:11" s="850" customFormat="1" ht="15" customHeight="1">
      <c r="A818" s="1500"/>
      <c r="B818" s="1501"/>
      <c r="C818" s="1495"/>
      <c r="D818" s="1502"/>
      <c r="E818" s="906" t="s">
        <v>541</v>
      </c>
      <c r="F818" s="856">
        <f t="shared" ref="F818:F819" si="48">SUM(G818:J818)</f>
        <v>6117</v>
      </c>
      <c r="G818" s="856"/>
      <c r="H818" s="856">
        <v>6117</v>
      </c>
      <c r="I818" s="856"/>
      <c r="J818" s="857"/>
    </row>
    <row r="819" spans="1:11" s="850" customFormat="1" ht="15" hidden="1" customHeight="1">
      <c r="A819" s="1500"/>
      <c r="B819" s="1501"/>
      <c r="C819" s="1495"/>
      <c r="D819" s="1502"/>
      <c r="E819" s="906"/>
      <c r="F819" s="856">
        <f t="shared" si="48"/>
        <v>0</v>
      </c>
      <c r="G819" s="856"/>
      <c r="H819" s="856"/>
      <c r="I819" s="856"/>
      <c r="J819" s="857"/>
    </row>
    <row r="820" spans="1:11" s="174" customFormat="1" ht="24.95" customHeight="1" thickBot="1">
      <c r="A820" s="1500"/>
      <c r="B820" s="1501"/>
      <c r="C820" s="1495"/>
      <c r="D820" s="1502"/>
      <c r="E820" s="858" t="s">
        <v>977</v>
      </c>
      <c r="F820" s="852">
        <f>SUM(F821:F822)</f>
        <v>0</v>
      </c>
      <c r="G820" s="852">
        <f>SUM(G821:G822)</f>
        <v>0</v>
      </c>
      <c r="H820" s="852">
        <f>SUM(H821:H822)</f>
        <v>0</v>
      </c>
      <c r="I820" s="852">
        <f>SUM(I821:I822)</f>
        <v>0</v>
      </c>
      <c r="J820" s="853">
        <f>SUM(J821:J822)</f>
        <v>0</v>
      </c>
    </row>
    <row r="821" spans="1:11" s="174" customFormat="1" ht="15" hidden="1" customHeight="1">
      <c r="A821" s="1500"/>
      <c r="B821" s="1501"/>
      <c r="C821" s="1495"/>
      <c r="D821" s="1502"/>
      <c r="E821" s="855"/>
      <c r="F821" s="856">
        <f>SUM(G821:J821)</f>
        <v>0</v>
      </c>
      <c r="G821" s="856"/>
      <c r="H821" s="856"/>
      <c r="I821" s="856"/>
      <c r="J821" s="857"/>
    </row>
    <row r="822" spans="1:11" s="174" customFormat="1" ht="15" hidden="1" customHeight="1" thickBot="1">
      <c r="A822" s="1533"/>
      <c r="B822" s="1534"/>
      <c r="C822" s="1535"/>
      <c r="D822" s="1536"/>
      <c r="E822" s="933"/>
      <c r="F822" s="934">
        <f>SUM(G822:J822)</f>
        <v>0</v>
      </c>
      <c r="G822" s="934"/>
      <c r="H822" s="934"/>
      <c r="I822" s="934"/>
      <c r="J822" s="935"/>
    </row>
    <row r="823" spans="1:11" s="174" customFormat="1" ht="24.95" customHeight="1" thickBot="1">
      <c r="A823" s="1492" t="s">
        <v>992</v>
      </c>
      <c r="B823" s="1493"/>
      <c r="C823" s="1493"/>
      <c r="D823" s="1493"/>
      <c r="E823" s="1494"/>
      <c r="F823" s="871">
        <f>F7+F356+F535+F561+F783</f>
        <v>160649885</v>
      </c>
      <c r="G823" s="871">
        <f>G7+G356+G535+G561+G783</f>
        <v>16881108</v>
      </c>
      <c r="H823" s="871">
        <f>H7+H356+H535+H561+H783</f>
        <v>52182465</v>
      </c>
      <c r="I823" s="871">
        <f>I7+I356+I535+I561+I783</f>
        <v>88150312</v>
      </c>
      <c r="J823" s="872">
        <f>J7+J356+J535+J561+J783</f>
        <v>3436000</v>
      </c>
      <c r="K823" s="877"/>
    </row>
    <row r="824" spans="1:11">
      <c r="A824" s="831"/>
      <c r="B824" s="831"/>
      <c r="C824" s="832"/>
      <c r="D824" s="832"/>
      <c r="E824" s="831"/>
      <c r="F824" s="831"/>
      <c r="G824" s="831"/>
      <c r="H824" s="831"/>
      <c r="I824" s="831"/>
      <c r="J824" s="831"/>
    </row>
    <row r="825" spans="1:11">
      <c r="A825" s="831"/>
      <c r="B825" s="831"/>
      <c r="C825" s="832"/>
      <c r="D825" s="832"/>
      <c r="E825" s="873"/>
      <c r="F825" s="874"/>
      <c r="G825" s="874"/>
      <c r="H825" s="874"/>
      <c r="I825" s="874"/>
      <c r="J825" s="874"/>
    </row>
    <row r="826" spans="1:11">
      <c r="A826" s="831"/>
      <c r="B826" s="831"/>
      <c r="C826" s="832"/>
      <c r="D826" s="832"/>
      <c r="E826" s="883"/>
      <c r="F826" s="936"/>
      <c r="G826" s="936"/>
      <c r="H826" s="936"/>
      <c r="I826" s="936"/>
      <c r="J826" s="936"/>
    </row>
    <row r="827" spans="1:11">
      <c r="A827" s="831"/>
      <c r="B827" s="831"/>
      <c r="C827" s="832"/>
      <c r="D827" s="832"/>
      <c r="E827" s="884"/>
      <c r="F827" s="874"/>
      <c r="G827" s="874"/>
      <c r="H827" s="874"/>
      <c r="I827" s="874"/>
      <c r="J827" s="874"/>
    </row>
    <row r="828" spans="1:11">
      <c r="A828" s="831"/>
      <c r="B828" s="831"/>
      <c r="C828" s="832"/>
      <c r="D828" s="832"/>
      <c r="E828" s="884"/>
      <c r="F828" s="874"/>
      <c r="G828" s="874"/>
      <c r="H828" s="874"/>
      <c r="I828" s="874"/>
      <c r="J828" s="874"/>
    </row>
    <row r="829" spans="1:11">
      <c r="A829" s="831"/>
      <c r="B829" s="831"/>
      <c r="C829" s="832"/>
      <c r="D829" s="832"/>
      <c r="E829" s="885"/>
      <c r="F829" s="874"/>
      <c r="G829" s="874"/>
      <c r="H829" s="874"/>
      <c r="I829" s="874"/>
      <c r="J829" s="874"/>
    </row>
    <row r="830" spans="1:11">
      <c r="A830" s="831"/>
      <c r="B830" s="831"/>
      <c r="C830" s="832"/>
      <c r="D830" s="832"/>
      <c r="E830" s="886"/>
      <c r="F830" s="936"/>
      <c r="G830" s="936"/>
      <c r="H830" s="936"/>
      <c r="I830" s="936"/>
      <c r="J830" s="936"/>
    </row>
    <row r="831" spans="1:11" ht="15">
      <c r="A831" s="831"/>
      <c r="B831" s="831"/>
      <c r="C831" s="832"/>
      <c r="D831" s="832"/>
      <c r="E831" s="887"/>
      <c r="F831" s="937"/>
      <c r="G831" s="937"/>
      <c r="H831" s="937"/>
      <c r="I831" s="937"/>
      <c r="J831" s="937"/>
    </row>
    <row r="835" spans="3:10" s="831" customFormat="1">
      <c r="C835" s="832"/>
      <c r="D835" s="832"/>
      <c r="E835" s="885"/>
      <c r="F835" s="874"/>
      <c r="G835" s="874"/>
      <c r="H835" s="874"/>
      <c r="I835" s="874"/>
      <c r="J835" s="874"/>
    </row>
    <row r="836" spans="3:10" s="831" customFormat="1">
      <c r="C836" s="832"/>
      <c r="D836" s="832"/>
      <c r="E836" s="885"/>
      <c r="F836" s="874"/>
      <c r="G836" s="874"/>
      <c r="H836" s="874"/>
      <c r="I836" s="874"/>
      <c r="J836" s="874"/>
    </row>
    <row r="837" spans="3:10" s="831" customFormat="1">
      <c r="C837" s="832"/>
      <c r="D837" s="832"/>
      <c r="E837" s="890"/>
      <c r="F837" s="888"/>
      <c r="G837" s="888"/>
      <c r="H837" s="888"/>
      <c r="I837" s="888"/>
      <c r="J837" s="888"/>
    </row>
  </sheetData>
  <mergeCells count="203">
    <mergeCell ref="H1:J1"/>
    <mergeCell ref="A2:J2"/>
    <mergeCell ref="A3:J3"/>
    <mergeCell ref="A4:A5"/>
    <mergeCell ref="B4:B5"/>
    <mergeCell ref="C4:C5"/>
    <mergeCell ref="D4:D5"/>
    <mergeCell ref="E4:E5"/>
    <mergeCell ref="F4:F5"/>
    <mergeCell ref="G4:J4"/>
    <mergeCell ref="A32:A43"/>
    <mergeCell ref="B32:B43"/>
    <mergeCell ref="C32:C43"/>
    <mergeCell ref="D32:D43"/>
    <mergeCell ref="A45:A63"/>
    <mergeCell ref="B45:B63"/>
    <mergeCell ref="C45:C63"/>
    <mergeCell ref="D45:D63"/>
    <mergeCell ref="B7:E7"/>
    <mergeCell ref="A8:J8"/>
    <mergeCell ref="A9:A17"/>
    <mergeCell ref="B9:B17"/>
    <mergeCell ref="C9:D14"/>
    <mergeCell ref="A18:A31"/>
    <mergeCell ref="B18:B31"/>
    <mergeCell ref="C18:C31"/>
    <mergeCell ref="D18:D31"/>
    <mergeCell ref="A115:A127"/>
    <mergeCell ref="B115:B127"/>
    <mergeCell ref="C115:C127"/>
    <mergeCell ref="D115:D127"/>
    <mergeCell ref="A128:A142"/>
    <mergeCell ref="B128:B142"/>
    <mergeCell ref="C128:C142"/>
    <mergeCell ref="D128:D142"/>
    <mergeCell ref="A64:A79"/>
    <mergeCell ref="B64:B79"/>
    <mergeCell ref="C64:C79"/>
    <mergeCell ref="D64:D79"/>
    <mergeCell ref="A81:A114"/>
    <mergeCell ref="B81:B114"/>
    <mergeCell ref="C81:C114"/>
    <mergeCell ref="D81:D114"/>
    <mergeCell ref="A178:A194"/>
    <mergeCell ref="B178:B194"/>
    <mergeCell ref="C178:C194"/>
    <mergeCell ref="D178:D194"/>
    <mergeCell ref="A195:A218"/>
    <mergeCell ref="B195:B218"/>
    <mergeCell ref="C195:C218"/>
    <mergeCell ref="D195:D218"/>
    <mergeCell ref="A143:A157"/>
    <mergeCell ref="B143:B157"/>
    <mergeCell ref="C143:C157"/>
    <mergeCell ref="D143:D157"/>
    <mergeCell ref="A161:A177"/>
    <mergeCell ref="B161:B177"/>
    <mergeCell ref="C161:C177"/>
    <mergeCell ref="D161:D177"/>
    <mergeCell ref="A275:A301"/>
    <mergeCell ref="B275:B301"/>
    <mergeCell ref="C275:C301"/>
    <mergeCell ref="D275:D301"/>
    <mergeCell ref="A302:A330"/>
    <mergeCell ref="B302:B330"/>
    <mergeCell ref="C302:C330"/>
    <mergeCell ref="D302:D330"/>
    <mergeCell ref="A219:A239"/>
    <mergeCell ref="B219:B239"/>
    <mergeCell ref="C219:C239"/>
    <mergeCell ref="D219:D239"/>
    <mergeCell ref="A243:A271"/>
    <mergeCell ref="B243:B271"/>
    <mergeCell ref="C243:C271"/>
    <mergeCell ref="D243:D271"/>
    <mergeCell ref="A358:A369"/>
    <mergeCell ref="B358:B369"/>
    <mergeCell ref="C358:C369"/>
    <mergeCell ref="D358:D369"/>
    <mergeCell ref="A370:A383"/>
    <mergeCell ref="B370:B383"/>
    <mergeCell ref="C370:C383"/>
    <mergeCell ref="D370:D383"/>
    <mergeCell ref="A334:A355"/>
    <mergeCell ref="B334:B355"/>
    <mergeCell ref="C334:C355"/>
    <mergeCell ref="D334:D355"/>
    <mergeCell ref="B356:E356"/>
    <mergeCell ref="A357:J357"/>
    <mergeCell ref="A412:A425"/>
    <mergeCell ref="B412:B425"/>
    <mergeCell ref="C412:C425"/>
    <mergeCell ref="D412:D425"/>
    <mergeCell ref="A426:A437"/>
    <mergeCell ref="B426:B437"/>
    <mergeCell ref="C426:C437"/>
    <mergeCell ref="D426:D437"/>
    <mergeCell ref="A384:A397"/>
    <mergeCell ref="B384:B397"/>
    <mergeCell ref="C384:C397"/>
    <mergeCell ref="D384:D397"/>
    <mergeCell ref="A398:A411"/>
    <mergeCell ref="B398:B411"/>
    <mergeCell ref="C398:C411"/>
    <mergeCell ref="D398:D411"/>
    <mergeCell ref="A466:A479"/>
    <mergeCell ref="B466:B479"/>
    <mergeCell ref="C466:C479"/>
    <mergeCell ref="D466:D479"/>
    <mergeCell ref="A480:A493"/>
    <mergeCell ref="B480:B493"/>
    <mergeCell ref="C480:C493"/>
    <mergeCell ref="D480:D493"/>
    <mergeCell ref="A438:A451"/>
    <mergeCell ref="B438:B451"/>
    <mergeCell ref="C438:C451"/>
    <mergeCell ref="D438:D451"/>
    <mergeCell ref="A452:A465"/>
    <mergeCell ref="B452:B465"/>
    <mergeCell ref="C452:C465"/>
    <mergeCell ref="D452:D465"/>
    <mergeCell ref="A520:A534"/>
    <mergeCell ref="B520:B534"/>
    <mergeCell ref="C520:C534"/>
    <mergeCell ref="D520:D534"/>
    <mergeCell ref="B535:E535"/>
    <mergeCell ref="A536:J536"/>
    <mergeCell ref="A494:A505"/>
    <mergeCell ref="B494:B505"/>
    <mergeCell ref="C494:C505"/>
    <mergeCell ref="D494:D505"/>
    <mergeCell ref="A506:A519"/>
    <mergeCell ref="B506:B519"/>
    <mergeCell ref="C506:C519"/>
    <mergeCell ref="D506:D519"/>
    <mergeCell ref="A537:A549"/>
    <mergeCell ref="B537:B549"/>
    <mergeCell ref="C537:C549"/>
    <mergeCell ref="D537:D545"/>
    <mergeCell ref="D547:D549"/>
    <mergeCell ref="A550:A560"/>
    <mergeCell ref="B550:B560"/>
    <mergeCell ref="C550:C560"/>
    <mergeCell ref="D550:D558"/>
    <mergeCell ref="B561:E561"/>
    <mergeCell ref="A562:J562"/>
    <mergeCell ref="A563:A575"/>
    <mergeCell ref="B563:B575"/>
    <mergeCell ref="C563:D563"/>
    <mergeCell ref="C564:D564"/>
    <mergeCell ref="C565:C566"/>
    <mergeCell ref="C567:C568"/>
    <mergeCell ref="C569:C570"/>
    <mergeCell ref="D569:D570"/>
    <mergeCell ref="C572:D572"/>
    <mergeCell ref="A591:A610"/>
    <mergeCell ref="B591:B610"/>
    <mergeCell ref="C591:C610"/>
    <mergeCell ref="D591:D610"/>
    <mergeCell ref="A611:A652"/>
    <mergeCell ref="B611:B652"/>
    <mergeCell ref="C611:C652"/>
    <mergeCell ref="D611:D652"/>
    <mergeCell ref="D582:D583"/>
    <mergeCell ref="C584:C585"/>
    <mergeCell ref="D584:D585"/>
    <mergeCell ref="C586:C587"/>
    <mergeCell ref="D586:D587"/>
    <mergeCell ref="C588:D588"/>
    <mergeCell ref="A576:A589"/>
    <mergeCell ref="B576:B589"/>
    <mergeCell ref="C576:D576"/>
    <mergeCell ref="C577:D577"/>
    <mergeCell ref="C578:C579"/>
    <mergeCell ref="D578:D579"/>
    <mergeCell ref="C580:C581"/>
    <mergeCell ref="D580:D581"/>
    <mergeCell ref="C582:C583"/>
    <mergeCell ref="A697:A737"/>
    <mergeCell ref="B697:B737"/>
    <mergeCell ref="C697:C737"/>
    <mergeCell ref="D697:D737"/>
    <mergeCell ref="A738:A782"/>
    <mergeCell ref="B738:B782"/>
    <mergeCell ref="C738:C782"/>
    <mergeCell ref="D738:D782"/>
    <mergeCell ref="A655:A694"/>
    <mergeCell ref="B655:B694"/>
    <mergeCell ref="C655:C694"/>
    <mergeCell ref="D655:D694"/>
    <mergeCell ref="B695:E695"/>
    <mergeCell ref="A696:J696"/>
    <mergeCell ref="A808:A822"/>
    <mergeCell ref="B808:B822"/>
    <mergeCell ref="C808:C822"/>
    <mergeCell ref="D808:D822"/>
    <mergeCell ref="A823:E823"/>
    <mergeCell ref="B783:E783"/>
    <mergeCell ref="A784:J784"/>
    <mergeCell ref="A785:A807"/>
    <mergeCell ref="B785:B807"/>
    <mergeCell ref="C785:C807"/>
    <mergeCell ref="D785:D80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Strona &amp;P z &amp;N</oddFooter>
  </headerFooter>
  <rowBreaks count="15" manualBreakCount="15">
    <brk id="44" max="9" man="1"/>
    <brk id="80" max="9" man="1"/>
    <brk id="114" max="9" man="1"/>
    <brk id="194" max="9" man="1"/>
    <brk id="242" max="9" man="1"/>
    <brk id="274" max="9" man="1"/>
    <brk id="301" max="9" man="1"/>
    <brk id="333" max="9" man="1"/>
    <brk id="369" max="9" man="1"/>
    <brk id="437" max="9" man="1"/>
    <brk id="505" max="9" man="1"/>
    <brk id="560" max="9" man="1"/>
    <brk id="610" max="9" man="1"/>
    <brk id="694" max="9" man="1"/>
    <brk id="823" max="9" man="1"/>
  </rowBreaks>
  <colBreaks count="1" manualBreakCount="1">
    <brk id="10" max="4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J62"/>
  <sheetViews>
    <sheetView view="pageBreakPreview" zoomScaleNormal="100" zoomScaleSheetLayoutView="100" workbookViewId="0">
      <selection activeCell="A2" sqref="A2:F2"/>
    </sheetView>
  </sheetViews>
  <sheetFormatPr defaultRowHeight="12.75"/>
  <cols>
    <col min="1" max="1" width="5.140625" style="1" customWidth="1"/>
    <col min="2" max="2" width="51.5703125" style="1" customWidth="1"/>
    <col min="3" max="3" width="7.140625" style="1" customWidth="1"/>
    <col min="4" max="4" width="10.140625" style="1" customWidth="1"/>
    <col min="5" max="5" width="11.28515625" style="1" customWidth="1"/>
    <col min="6" max="6" width="13.7109375" style="1" customWidth="1"/>
    <col min="7" max="7" width="10.140625" style="1" bestFit="1" customWidth="1"/>
    <col min="8" max="8" width="11.140625" style="1" bestFit="1" customWidth="1"/>
    <col min="9" max="256" width="9.140625" style="1"/>
    <col min="257" max="257" width="5.140625" style="1" customWidth="1"/>
    <col min="258" max="258" width="46.85546875" style="1" customWidth="1"/>
    <col min="259" max="259" width="7.140625" style="1" customWidth="1"/>
    <col min="260" max="260" width="10.140625" style="1" customWidth="1"/>
    <col min="261" max="261" width="11.28515625" style="1" customWidth="1"/>
    <col min="262" max="262" width="13.7109375" style="1" customWidth="1"/>
    <col min="263" max="512" width="9.140625" style="1"/>
    <col min="513" max="513" width="5.140625" style="1" customWidth="1"/>
    <col min="514" max="514" width="46.85546875" style="1" customWidth="1"/>
    <col min="515" max="515" width="7.140625" style="1" customWidth="1"/>
    <col min="516" max="516" width="10.140625" style="1" customWidth="1"/>
    <col min="517" max="517" width="11.28515625" style="1" customWidth="1"/>
    <col min="518" max="518" width="13.7109375" style="1" customWidth="1"/>
    <col min="519" max="768" width="9.140625" style="1"/>
    <col min="769" max="769" width="5.140625" style="1" customWidth="1"/>
    <col min="770" max="770" width="46.85546875" style="1" customWidth="1"/>
    <col min="771" max="771" width="7.140625" style="1" customWidth="1"/>
    <col min="772" max="772" width="10.140625" style="1" customWidth="1"/>
    <col min="773" max="773" width="11.28515625" style="1" customWidth="1"/>
    <col min="774" max="774" width="13.7109375" style="1" customWidth="1"/>
    <col min="775" max="1024" width="9.140625" style="1"/>
    <col min="1025" max="1025" width="5.140625" style="1" customWidth="1"/>
    <col min="1026" max="1026" width="46.85546875" style="1" customWidth="1"/>
    <col min="1027" max="1027" width="7.140625" style="1" customWidth="1"/>
    <col min="1028" max="1028" width="10.140625" style="1" customWidth="1"/>
    <col min="1029" max="1029" width="11.28515625" style="1" customWidth="1"/>
    <col min="1030" max="1030" width="13.7109375" style="1" customWidth="1"/>
    <col min="1031" max="1280" width="9.140625" style="1"/>
    <col min="1281" max="1281" width="5.140625" style="1" customWidth="1"/>
    <col min="1282" max="1282" width="46.85546875" style="1" customWidth="1"/>
    <col min="1283" max="1283" width="7.140625" style="1" customWidth="1"/>
    <col min="1284" max="1284" width="10.140625" style="1" customWidth="1"/>
    <col min="1285" max="1285" width="11.28515625" style="1" customWidth="1"/>
    <col min="1286" max="1286" width="13.7109375" style="1" customWidth="1"/>
    <col min="1287" max="1536" width="9.140625" style="1"/>
    <col min="1537" max="1537" width="5.140625" style="1" customWidth="1"/>
    <col min="1538" max="1538" width="46.85546875" style="1" customWidth="1"/>
    <col min="1539" max="1539" width="7.140625" style="1" customWidth="1"/>
    <col min="1540" max="1540" width="10.140625" style="1" customWidth="1"/>
    <col min="1541" max="1541" width="11.28515625" style="1" customWidth="1"/>
    <col min="1542" max="1542" width="13.7109375" style="1" customWidth="1"/>
    <col min="1543" max="1792" width="9.140625" style="1"/>
    <col min="1793" max="1793" width="5.140625" style="1" customWidth="1"/>
    <col min="1794" max="1794" width="46.85546875" style="1" customWidth="1"/>
    <col min="1795" max="1795" width="7.140625" style="1" customWidth="1"/>
    <col min="1796" max="1796" width="10.140625" style="1" customWidth="1"/>
    <col min="1797" max="1797" width="11.28515625" style="1" customWidth="1"/>
    <col min="1798" max="1798" width="13.7109375" style="1" customWidth="1"/>
    <col min="1799" max="2048" width="9.140625" style="1"/>
    <col min="2049" max="2049" width="5.140625" style="1" customWidth="1"/>
    <col min="2050" max="2050" width="46.85546875" style="1" customWidth="1"/>
    <col min="2051" max="2051" width="7.140625" style="1" customWidth="1"/>
    <col min="2052" max="2052" width="10.140625" style="1" customWidth="1"/>
    <col min="2053" max="2053" width="11.28515625" style="1" customWidth="1"/>
    <col min="2054" max="2054" width="13.7109375" style="1" customWidth="1"/>
    <col min="2055" max="2304" width="9.140625" style="1"/>
    <col min="2305" max="2305" width="5.140625" style="1" customWidth="1"/>
    <col min="2306" max="2306" width="46.85546875" style="1" customWidth="1"/>
    <col min="2307" max="2307" width="7.140625" style="1" customWidth="1"/>
    <col min="2308" max="2308" width="10.140625" style="1" customWidth="1"/>
    <col min="2309" max="2309" width="11.28515625" style="1" customWidth="1"/>
    <col min="2310" max="2310" width="13.7109375" style="1" customWidth="1"/>
    <col min="2311" max="2560" width="9.140625" style="1"/>
    <col min="2561" max="2561" width="5.140625" style="1" customWidth="1"/>
    <col min="2562" max="2562" width="46.85546875" style="1" customWidth="1"/>
    <col min="2563" max="2563" width="7.140625" style="1" customWidth="1"/>
    <col min="2564" max="2564" width="10.140625" style="1" customWidth="1"/>
    <col min="2565" max="2565" width="11.28515625" style="1" customWidth="1"/>
    <col min="2566" max="2566" width="13.7109375" style="1" customWidth="1"/>
    <col min="2567" max="2816" width="9.140625" style="1"/>
    <col min="2817" max="2817" width="5.140625" style="1" customWidth="1"/>
    <col min="2818" max="2818" width="46.85546875" style="1" customWidth="1"/>
    <col min="2819" max="2819" width="7.140625" style="1" customWidth="1"/>
    <col min="2820" max="2820" width="10.140625" style="1" customWidth="1"/>
    <col min="2821" max="2821" width="11.28515625" style="1" customWidth="1"/>
    <col min="2822" max="2822" width="13.7109375" style="1" customWidth="1"/>
    <col min="2823" max="3072" width="9.140625" style="1"/>
    <col min="3073" max="3073" width="5.140625" style="1" customWidth="1"/>
    <col min="3074" max="3074" width="46.85546875" style="1" customWidth="1"/>
    <col min="3075" max="3075" width="7.140625" style="1" customWidth="1"/>
    <col min="3076" max="3076" width="10.140625" style="1" customWidth="1"/>
    <col min="3077" max="3077" width="11.28515625" style="1" customWidth="1"/>
    <col min="3078" max="3078" width="13.7109375" style="1" customWidth="1"/>
    <col min="3079" max="3328" width="9.140625" style="1"/>
    <col min="3329" max="3329" width="5.140625" style="1" customWidth="1"/>
    <col min="3330" max="3330" width="46.85546875" style="1" customWidth="1"/>
    <col min="3331" max="3331" width="7.140625" style="1" customWidth="1"/>
    <col min="3332" max="3332" width="10.140625" style="1" customWidth="1"/>
    <col min="3333" max="3333" width="11.28515625" style="1" customWidth="1"/>
    <col min="3334" max="3334" width="13.7109375" style="1" customWidth="1"/>
    <col min="3335" max="3584" width="9.140625" style="1"/>
    <col min="3585" max="3585" width="5.140625" style="1" customWidth="1"/>
    <col min="3586" max="3586" width="46.85546875" style="1" customWidth="1"/>
    <col min="3587" max="3587" width="7.140625" style="1" customWidth="1"/>
    <col min="3588" max="3588" width="10.140625" style="1" customWidth="1"/>
    <col min="3589" max="3589" width="11.28515625" style="1" customWidth="1"/>
    <col min="3590" max="3590" width="13.7109375" style="1" customWidth="1"/>
    <col min="3591" max="3840" width="9.140625" style="1"/>
    <col min="3841" max="3841" width="5.140625" style="1" customWidth="1"/>
    <col min="3842" max="3842" width="46.85546875" style="1" customWidth="1"/>
    <col min="3843" max="3843" width="7.140625" style="1" customWidth="1"/>
    <col min="3844" max="3844" width="10.140625" style="1" customWidth="1"/>
    <col min="3845" max="3845" width="11.28515625" style="1" customWidth="1"/>
    <col min="3846" max="3846" width="13.7109375" style="1" customWidth="1"/>
    <col min="3847" max="4096" width="9.140625" style="1"/>
    <col min="4097" max="4097" width="5.140625" style="1" customWidth="1"/>
    <col min="4098" max="4098" width="46.85546875" style="1" customWidth="1"/>
    <col min="4099" max="4099" width="7.140625" style="1" customWidth="1"/>
    <col min="4100" max="4100" width="10.140625" style="1" customWidth="1"/>
    <col min="4101" max="4101" width="11.28515625" style="1" customWidth="1"/>
    <col min="4102" max="4102" width="13.7109375" style="1" customWidth="1"/>
    <col min="4103" max="4352" width="9.140625" style="1"/>
    <col min="4353" max="4353" width="5.140625" style="1" customWidth="1"/>
    <col min="4354" max="4354" width="46.85546875" style="1" customWidth="1"/>
    <col min="4355" max="4355" width="7.140625" style="1" customWidth="1"/>
    <col min="4356" max="4356" width="10.140625" style="1" customWidth="1"/>
    <col min="4357" max="4357" width="11.28515625" style="1" customWidth="1"/>
    <col min="4358" max="4358" width="13.7109375" style="1" customWidth="1"/>
    <col min="4359" max="4608" width="9.140625" style="1"/>
    <col min="4609" max="4609" width="5.140625" style="1" customWidth="1"/>
    <col min="4610" max="4610" width="46.85546875" style="1" customWidth="1"/>
    <col min="4611" max="4611" width="7.140625" style="1" customWidth="1"/>
    <col min="4612" max="4612" width="10.140625" style="1" customWidth="1"/>
    <col min="4613" max="4613" width="11.28515625" style="1" customWidth="1"/>
    <col min="4614" max="4614" width="13.7109375" style="1" customWidth="1"/>
    <col min="4615" max="4864" width="9.140625" style="1"/>
    <col min="4865" max="4865" width="5.140625" style="1" customWidth="1"/>
    <col min="4866" max="4866" width="46.85546875" style="1" customWidth="1"/>
    <col min="4867" max="4867" width="7.140625" style="1" customWidth="1"/>
    <col min="4868" max="4868" width="10.140625" style="1" customWidth="1"/>
    <col min="4869" max="4869" width="11.28515625" style="1" customWidth="1"/>
    <col min="4870" max="4870" width="13.7109375" style="1" customWidth="1"/>
    <col min="4871" max="5120" width="9.140625" style="1"/>
    <col min="5121" max="5121" width="5.140625" style="1" customWidth="1"/>
    <col min="5122" max="5122" width="46.85546875" style="1" customWidth="1"/>
    <col min="5123" max="5123" width="7.140625" style="1" customWidth="1"/>
    <col min="5124" max="5124" width="10.140625" style="1" customWidth="1"/>
    <col min="5125" max="5125" width="11.28515625" style="1" customWidth="1"/>
    <col min="5126" max="5126" width="13.7109375" style="1" customWidth="1"/>
    <col min="5127" max="5376" width="9.140625" style="1"/>
    <col min="5377" max="5377" width="5.140625" style="1" customWidth="1"/>
    <col min="5378" max="5378" width="46.85546875" style="1" customWidth="1"/>
    <col min="5379" max="5379" width="7.140625" style="1" customWidth="1"/>
    <col min="5380" max="5380" width="10.140625" style="1" customWidth="1"/>
    <col min="5381" max="5381" width="11.28515625" style="1" customWidth="1"/>
    <col min="5382" max="5382" width="13.7109375" style="1" customWidth="1"/>
    <col min="5383" max="5632" width="9.140625" style="1"/>
    <col min="5633" max="5633" width="5.140625" style="1" customWidth="1"/>
    <col min="5634" max="5634" width="46.85546875" style="1" customWidth="1"/>
    <col min="5635" max="5635" width="7.140625" style="1" customWidth="1"/>
    <col min="5636" max="5636" width="10.140625" style="1" customWidth="1"/>
    <col min="5637" max="5637" width="11.28515625" style="1" customWidth="1"/>
    <col min="5638" max="5638" width="13.7109375" style="1" customWidth="1"/>
    <col min="5639" max="5888" width="9.140625" style="1"/>
    <col min="5889" max="5889" width="5.140625" style="1" customWidth="1"/>
    <col min="5890" max="5890" width="46.85546875" style="1" customWidth="1"/>
    <col min="5891" max="5891" width="7.140625" style="1" customWidth="1"/>
    <col min="5892" max="5892" width="10.140625" style="1" customWidth="1"/>
    <col min="5893" max="5893" width="11.28515625" style="1" customWidth="1"/>
    <col min="5894" max="5894" width="13.7109375" style="1" customWidth="1"/>
    <col min="5895" max="6144" width="9.140625" style="1"/>
    <col min="6145" max="6145" width="5.140625" style="1" customWidth="1"/>
    <col min="6146" max="6146" width="46.85546875" style="1" customWidth="1"/>
    <col min="6147" max="6147" width="7.140625" style="1" customWidth="1"/>
    <col min="6148" max="6148" width="10.140625" style="1" customWidth="1"/>
    <col min="6149" max="6149" width="11.28515625" style="1" customWidth="1"/>
    <col min="6150" max="6150" width="13.7109375" style="1" customWidth="1"/>
    <col min="6151" max="6400" width="9.140625" style="1"/>
    <col min="6401" max="6401" width="5.140625" style="1" customWidth="1"/>
    <col min="6402" max="6402" width="46.85546875" style="1" customWidth="1"/>
    <col min="6403" max="6403" width="7.140625" style="1" customWidth="1"/>
    <col min="6404" max="6404" width="10.140625" style="1" customWidth="1"/>
    <col min="6405" max="6405" width="11.28515625" style="1" customWidth="1"/>
    <col min="6406" max="6406" width="13.7109375" style="1" customWidth="1"/>
    <col min="6407" max="6656" width="9.140625" style="1"/>
    <col min="6657" max="6657" width="5.140625" style="1" customWidth="1"/>
    <col min="6658" max="6658" width="46.85546875" style="1" customWidth="1"/>
    <col min="6659" max="6659" width="7.140625" style="1" customWidth="1"/>
    <col min="6660" max="6660" width="10.140625" style="1" customWidth="1"/>
    <col min="6661" max="6661" width="11.28515625" style="1" customWidth="1"/>
    <col min="6662" max="6662" width="13.7109375" style="1" customWidth="1"/>
    <col min="6663" max="6912" width="9.140625" style="1"/>
    <col min="6913" max="6913" width="5.140625" style="1" customWidth="1"/>
    <col min="6914" max="6914" width="46.85546875" style="1" customWidth="1"/>
    <col min="6915" max="6915" width="7.140625" style="1" customWidth="1"/>
    <col min="6916" max="6916" width="10.140625" style="1" customWidth="1"/>
    <col min="6917" max="6917" width="11.28515625" style="1" customWidth="1"/>
    <col min="6918" max="6918" width="13.7109375" style="1" customWidth="1"/>
    <col min="6919" max="7168" width="9.140625" style="1"/>
    <col min="7169" max="7169" width="5.140625" style="1" customWidth="1"/>
    <col min="7170" max="7170" width="46.85546875" style="1" customWidth="1"/>
    <col min="7171" max="7171" width="7.140625" style="1" customWidth="1"/>
    <col min="7172" max="7172" width="10.140625" style="1" customWidth="1"/>
    <col min="7173" max="7173" width="11.28515625" style="1" customWidth="1"/>
    <col min="7174" max="7174" width="13.7109375" style="1" customWidth="1"/>
    <col min="7175" max="7424" width="9.140625" style="1"/>
    <col min="7425" max="7425" width="5.140625" style="1" customWidth="1"/>
    <col min="7426" max="7426" width="46.85546875" style="1" customWidth="1"/>
    <col min="7427" max="7427" width="7.140625" style="1" customWidth="1"/>
    <col min="7428" max="7428" width="10.140625" style="1" customWidth="1"/>
    <col min="7429" max="7429" width="11.28515625" style="1" customWidth="1"/>
    <col min="7430" max="7430" width="13.7109375" style="1" customWidth="1"/>
    <col min="7431" max="7680" width="9.140625" style="1"/>
    <col min="7681" max="7681" width="5.140625" style="1" customWidth="1"/>
    <col min="7682" max="7682" width="46.85546875" style="1" customWidth="1"/>
    <col min="7683" max="7683" width="7.140625" style="1" customWidth="1"/>
    <col min="7684" max="7684" width="10.140625" style="1" customWidth="1"/>
    <col min="7685" max="7685" width="11.28515625" style="1" customWidth="1"/>
    <col min="7686" max="7686" width="13.7109375" style="1" customWidth="1"/>
    <col min="7687" max="7936" width="9.140625" style="1"/>
    <col min="7937" max="7937" width="5.140625" style="1" customWidth="1"/>
    <col min="7938" max="7938" width="46.85546875" style="1" customWidth="1"/>
    <col min="7939" max="7939" width="7.140625" style="1" customWidth="1"/>
    <col min="7940" max="7940" width="10.140625" style="1" customWidth="1"/>
    <col min="7941" max="7941" width="11.28515625" style="1" customWidth="1"/>
    <col min="7942" max="7942" width="13.7109375" style="1" customWidth="1"/>
    <col min="7943" max="8192" width="9.140625" style="1"/>
    <col min="8193" max="8193" width="5.140625" style="1" customWidth="1"/>
    <col min="8194" max="8194" width="46.85546875" style="1" customWidth="1"/>
    <col min="8195" max="8195" width="7.140625" style="1" customWidth="1"/>
    <col min="8196" max="8196" width="10.140625" style="1" customWidth="1"/>
    <col min="8197" max="8197" width="11.28515625" style="1" customWidth="1"/>
    <col min="8198" max="8198" width="13.7109375" style="1" customWidth="1"/>
    <col min="8199" max="8448" width="9.140625" style="1"/>
    <col min="8449" max="8449" width="5.140625" style="1" customWidth="1"/>
    <col min="8450" max="8450" width="46.85546875" style="1" customWidth="1"/>
    <col min="8451" max="8451" width="7.140625" style="1" customWidth="1"/>
    <col min="8452" max="8452" width="10.140625" style="1" customWidth="1"/>
    <col min="8453" max="8453" width="11.28515625" style="1" customWidth="1"/>
    <col min="8454" max="8454" width="13.7109375" style="1" customWidth="1"/>
    <col min="8455" max="8704" width="9.140625" style="1"/>
    <col min="8705" max="8705" width="5.140625" style="1" customWidth="1"/>
    <col min="8706" max="8706" width="46.85546875" style="1" customWidth="1"/>
    <col min="8707" max="8707" width="7.140625" style="1" customWidth="1"/>
    <col min="8708" max="8708" width="10.140625" style="1" customWidth="1"/>
    <col min="8709" max="8709" width="11.28515625" style="1" customWidth="1"/>
    <col min="8710" max="8710" width="13.7109375" style="1" customWidth="1"/>
    <col min="8711" max="8960" width="9.140625" style="1"/>
    <col min="8961" max="8961" width="5.140625" style="1" customWidth="1"/>
    <col min="8962" max="8962" width="46.85546875" style="1" customWidth="1"/>
    <col min="8963" max="8963" width="7.140625" style="1" customWidth="1"/>
    <col min="8964" max="8964" width="10.140625" style="1" customWidth="1"/>
    <col min="8965" max="8965" width="11.28515625" style="1" customWidth="1"/>
    <col min="8966" max="8966" width="13.7109375" style="1" customWidth="1"/>
    <col min="8967" max="9216" width="9.140625" style="1"/>
    <col min="9217" max="9217" width="5.140625" style="1" customWidth="1"/>
    <col min="9218" max="9218" width="46.85546875" style="1" customWidth="1"/>
    <col min="9219" max="9219" width="7.140625" style="1" customWidth="1"/>
    <col min="9220" max="9220" width="10.140625" style="1" customWidth="1"/>
    <col min="9221" max="9221" width="11.28515625" style="1" customWidth="1"/>
    <col min="9222" max="9222" width="13.7109375" style="1" customWidth="1"/>
    <col min="9223" max="9472" width="9.140625" style="1"/>
    <col min="9473" max="9473" width="5.140625" style="1" customWidth="1"/>
    <col min="9474" max="9474" width="46.85546875" style="1" customWidth="1"/>
    <col min="9475" max="9475" width="7.140625" style="1" customWidth="1"/>
    <col min="9476" max="9476" width="10.140625" style="1" customWidth="1"/>
    <col min="9477" max="9477" width="11.28515625" style="1" customWidth="1"/>
    <col min="9478" max="9478" width="13.7109375" style="1" customWidth="1"/>
    <col min="9479" max="9728" width="9.140625" style="1"/>
    <col min="9729" max="9729" width="5.140625" style="1" customWidth="1"/>
    <col min="9730" max="9730" width="46.85546875" style="1" customWidth="1"/>
    <col min="9731" max="9731" width="7.140625" style="1" customWidth="1"/>
    <col min="9732" max="9732" width="10.140625" style="1" customWidth="1"/>
    <col min="9733" max="9733" width="11.28515625" style="1" customWidth="1"/>
    <col min="9734" max="9734" width="13.7109375" style="1" customWidth="1"/>
    <col min="9735" max="9984" width="9.140625" style="1"/>
    <col min="9985" max="9985" width="5.140625" style="1" customWidth="1"/>
    <col min="9986" max="9986" width="46.85546875" style="1" customWidth="1"/>
    <col min="9987" max="9987" width="7.140625" style="1" customWidth="1"/>
    <col min="9988" max="9988" width="10.140625" style="1" customWidth="1"/>
    <col min="9989" max="9989" width="11.28515625" style="1" customWidth="1"/>
    <col min="9990" max="9990" width="13.7109375" style="1" customWidth="1"/>
    <col min="9991" max="10240" width="9.140625" style="1"/>
    <col min="10241" max="10241" width="5.140625" style="1" customWidth="1"/>
    <col min="10242" max="10242" width="46.85546875" style="1" customWidth="1"/>
    <col min="10243" max="10243" width="7.140625" style="1" customWidth="1"/>
    <col min="10244" max="10244" width="10.140625" style="1" customWidth="1"/>
    <col min="10245" max="10245" width="11.28515625" style="1" customWidth="1"/>
    <col min="10246" max="10246" width="13.7109375" style="1" customWidth="1"/>
    <col min="10247" max="10496" width="9.140625" style="1"/>
    <col min="10497" max="10497" width="5.140625" style="1" customWidth="1"/>
    <col min="10498" max="10498" width="46.85546875" style="1" customWidth="1"/>
    <col min="10499" max="10499" width="7.140625" style="1" customWidth="1"/>
    <col min="10500" max="10500" width="10.140625" style="1" customWidth="1"/>
    <col min="10501" max="10501" width="11.28515625" style="1" customWidth="1"/>
    <col min="10502" max="10502" width="13.7109375" style="1" customWidth="1"/>
    <col min="10503" max="10752" width="9.140625" style="1"/>
    <col min="10753" max="10753" width="5.140625" style="1" customWidth="1"/>
    <col min="10754" max="10754" width="46.85546875" style="1" customWidth="1"/>
    <col min="10755" max="10755" width="7.140625" style="1" customWidth="1"/>
    <col min="10756" max="10756" width="10.140625" style="1" customWidth="1"/>
    <col min="10757" max="10757" width="11.28515625" style="1" customWidth="1"/>
    <col min="10758" max="10758" width="13.7109375" style="1" customWidth="1"/>
    <col min="10759" max="11008" width="9.140625" style="1"/>
    <col min="11009" max="11009" width="5.140625" style="1" customWidth="1"/>
    <col min="11010" max="11010" width="46.85546875" style="1" customWidth="1"/>
    <col min="11011" max="11011" width="7.140625" style="1" customWidth="1"/>
    <col min="11012" max="11012" width="10.140625" style="1" customWidth="1"/>
    <col min="11013" max="11013" width="11.28515625" style="1" customWidth="1"/>
    <col min="11014" max="11014" width="13.7109375" style="1" customWidth="1"/>
    <col min="11015" max="11264" width="9.140625" style="1"/>
    <col min="11265" max="11265" width="5.140625" style="1" customWidth="1"/>
    <col min="11266" max="11266" width="46.85546875" style="1" customWidth="1"/>
    <col min="11267" max="11267" width="7.140625" style="1" customWidth="1"/>
    <col min="11268" max="11268" width="10.140625" style="1" customWidth="1"/>
    <col min="11269" max="11269" width="11.28515625" style="1" customWidth="1"/>
    <col min="11270" max="11270" width="13.7109375" style="1" customWidth="1"/>
    <col min="11271" max="11520" width="9.140625" style="1"/>
    <col min="11521" max="11521" width="5.140625" style="1" customWidth="1"/>
    <col min="11522" max="11522" width="46.85546875" style="1" customWidth="1"/>
    <col min="11523" max="11523" width="7.140625" style="1" customWidth="1"/>
    <col min="11524" max="11524" width="10.140625" style="1" customWidth="1"/>
    <col min="11525" max="11525" width="11.28515625" style="1" customWidth="1"/>
    <col min="11526" max="11526" width="13.7109375" style="1" customWidth="1"/>
    <col min="11527" max="11776" width="9.140625" style="1"/>
    <col min="11777" max="11777" width="5.140625" style="1" customWidth="1"/>
    <col min="11778" max="11778" width="46.85546875" style="1" customWidth="1"/>
    <col min="11779" max="11779" width="7.140625" style="1" customWidth="1"/>
    <col min="11780" max="11780" width="10.140625" style="1" customWidth="1"/>
    <col min="11781" max="11781" width="11.28515625" style="1" customWidth="1"/>
    <col min="11782" max="11782" width="13.7109375" style="1" customWidth="1"/>
    <col min="11783" max="12032" width="9.140625" style="1"/>
    <col min="12033" max="12033" width="5.140625" style="1" customWidth="1"/>
    <col min="12034" max="12034" width="46.85546875" style="1" customWidth="1"/>
    <col min="12035" max="12035" width="7.140625" style="1" customWidth="1"/>
    <col min="12036" max="12036" width="10.140625" style="1" customWidth="1"/>
    <col min="12037" max="12037" width="11.28515625" style="1" customWidth="1"/>
    <col min="12038" max="12038" width="13.7109375" style="1" customWidth="1"/>
    <col min="12039" max="12288" width="9.140625" style="1"/>
    <col min="12289" max="12289" width="5.140625" style="1" customWidth="1"/>
    <col min="12290" max="12290" width="46.85546875" style="1" customWidth="1"/>
    <col min="12291" max="12291" width="7.140625" style="1" customWidth="1"/>
    <col min="12292" max="12292" width="10.140625" style="1" customWidth="1"/>
    <col min="12293" max="12293" width="11.28515625" style="1" customWidth="1"/>
    <col min="12294" max="12294" width="13.7109375" style="1" customWidth="1"/>
    <col min="12295" max="12544" width="9.140625" style="1"/>
    <col min="12545" max="12545" width="5.140625" style="1" customWidth="1"/>
    <col min="12546" max="12546" width="46.85546875" style="1" customWidth="1"/>
    <col min="12547" max="12547" width="7.140625" style="1" customWidth="1"/>
    <col min="12548" max="12548" width="10.140625" style="1" customWidth="1"/>
    <col min="12549" max="12549" width="11.28515625" style="1" customWidth="1"/>
    <col min="12550" max="12550" width="13.7109375" style="1" customWidth="1"/>
    <col min="12551" max="12800" width="9.140625" style="1"/>
    <col min="12801" max="12801" width="5.140625" style="1" customWidth="1"/>
    <col min="12802" max="12802" width="46.85546875" style="1" customWidth="1"/>
    <col min="12803" max="12803" width="7.140625" style="1" customWidth="1"/>
    <col min="12804" max="12804" width="10.140625" style="1" customWidth="1"/>
    <col min="12805" max="12805" width="11.28515625" style="1" customWidth="1"/>
    <col min="12806" max="12806" width="13.7109375" style="1" customWidth="1"/>
    <col min="12807" max="13056" width="9.140625" style="1"/>
    <col min="13057" max="13057" width="5.140625" style="1" customWidth="1"/>
    <col min="13058" max="13058" width="46.85546875" style="1" customWidth="1"/>
    <col min="13059" max="13059" width="7.140625" style="1" customWidth="1"/>
    <col min="13060" max="13060" width="10.140625" style="1" customWidth="1"/>
    <col min="13061" max="13061" width="11.28515625" style="1" customWidth="1"/>
    <col min="13062" max="13062" width="13.7109375" style="1" customWidth="1"/>
    <col min="13063" max="13312" width="9.140625" style="1"/>
    <col min="13313" max="13313" width="5.140625" style="1" customWidth="1"/>
    <col min="13314" max="13314" width="46.85546875" style="1" customWidth="1"/>
    <col min="13315" max="13315" width="7.140625" style="1" customWidth="1"/>
    <col min="13316" max="13316" width="10.140625" style="1" customWidth="1"/>
    <col min="13317" max="13317" width="11.28515625" style="1" customWidth="1"/>
    <col min="13318" max="13318" width="13.7109375" style="1" customWidth="1"/>
    <col min="13319" max="13568" width="9.140625" style="1"/>
    <col min="13569" max="13569" width="5.140625" style="1" customWidth="1"/>
    <col min="13570" max="13570" width="46.85546875" style="1" customWidth="1"/>
    <col min="13571" max="13571" width="7.140625" style="1" customWidth="1"/>
    <col min="13572" max="13572" width="10.140625" style="1" customWidth="1"/>
    <col min="13573" max="13573" width="11.28515625" style="1" customWidth="1"/>
    <col min="13574" max="13574" width="13.7109375" style="1" customWidth="1"/>
    <col min="13575" max="13824" width="9.140625" style="1"/>
    <col min="13825" max="13825" width="5.140625" style="1" customWidth="1"/>
    <col min="13826" max="13826" width="46.85546875" style="1" customWidth="1"/>
    <col min="13827" max="13827" width="7.140625" style="1" customWidth="1"/>
    <col min="13828" max="13828" width="10.140625" style="1" customWidth="1"/>
    <col min="13829" max="13829" width="11.28515625" style="1" customWidth="1"/>
    <col min="13830" max="13830" width="13.7109375" style="1" customWidth="1"/>
    <col min="13831" max="14080" width="9.140625" style="1"/>
    <col min="14081" max="14081" width="5.140625" style="1" customWidth="1"/>
    <col min="14082" max="14082" width="46.85546875" style="1" customWidth="1"/>
    <col min="14083" max="14083" width="7.140625" style="1" customWidth="1"/>
    <col min="14084" max="14084" width="10.140625" style="1" customWidth="1"/>
    <col min="14085" max="14085" width="11.28515625" style="1" customWidth="1"/>
    <col min="14086" max="14086" width="13.7109375" style="1" customWidth="1"/>
    <col min="14087" max="14336" width="9.140625" style="1"/>
    <col min="14337" max="14337" width="5.140625" style="1" customWidth="1"/>
    <col min="14338" max="14338" width="46.85546875" style="1" customWidth="1"/>
    <col min="14339" max="14339" width="7.140625" style="1" customWidth="1"/>
    <col min="14340" max="14340" width="10.140625" style="1" customWidth="1"/>
    <col min="14341" max="14341" width="11.28515625" style="1" customWidth="1"/>
    <col min="14342" max="14342" width="13.7109375" style="1" customWidth="1"/>
    <col min="14343" max="14592" width="9.140625" style="1"/>
    <col min="14593" max="14593" width="5.140625" style="1" customWidth="1"/>
    <col min="14594" max="14594" width="46.85546875" style="1" customWidth="1"/>
    <col min="14595" max="14595" width="7.140625" style="1" customWidth="1"/>
    <col min="14596" max="14596" width="10.140625" style="1" customWidth="1"/>
    <col min="14597" max="14597" width="11.28515625" style="1" customWidth="1"/>
    <col min="14598" max="14598" width="13.7109375" style="1" customWidth="1"/>
    <col min="14599" max="14848" width="9.140625" style="1"/>
    <col min="14849" max="14849" width="5.140625" style="1" customWidth="1"/>
    <col min="14850" max="14850" width="46.85546875" style="1" customWidth="1"/>
    <col min="14851" max="14851" width="7.140625" style="1" customWidth="1"/>
    <col min="14852" max="14852" width="10.140625" style="1" customWidth="1"/>
    <col min="14853" max="14853" width="11.28515625" style="1" customWidth="1"/>
    <col min="14854" max="14854" width="13.7109375" style="1" customWidth="1"/>
    <col min="14855" max="15104" width="9.140625" style="1"/>
    <col min="15105" max="15105" width="5.140625" style="1" customWidth="1"/>
    <col min="15106" max="15106" width="46.85546875" style="1" customWidth="1"/>
    <col min="15107" max="15107" width="7.140625" style="1" customWidth="1"/>
    <col min="15108" max="15108" width="10.140625" style="1" customWidth="1"/>
    <col min="15109" max="15109" width="11.28515625" style="1" customWidth="1"/>
    <col min="15110" max="15110" width="13.7109375" style="1" customWidth="1"/>
    <col min="15111" max="15360" width="9.140625" style="1"/>
    <col min="15361" max="15361" width="5.140625" style="1" customWidth="1"/>
    <col min="15362" max="15362" width="46.85546875" style="1" customWidth="1"/>
    <col min="15363" max="15363" width="7.140625" style="1" customWidth="1"/>
    <col min="15364" max="15364" width="10.140625" style="1" customWidth="1"/>
    <col min="15365" max="15365" width="11.28515625" style="1" customWidth="1"/>
    <col min="15366" max="15366" width="13.7109375" style="1" customWidth="1"/>
    <col min="15367" max="15616" width="9.140625" style="1"/>
    <col min="15617" max="15617" width="5.140625" style="1" customWidth="1"/>
    <col min="15618" max="15618" width="46.85546875" style="1" customWidth="1"/>
    <col min="15619" max="15619" width="7.140625" style="1" customWidth="1"/>
    <col min="15620" max="15620" width="10.140625" style="1" customWidth="1"/>
    <col min="15621" max="15621" width="11.28515625" style="1" customWidth="1"/>
    <col min="15622" max="15622" width="13.7109375" style="1" customWidth="1"/>
    <col min="15623" max="15872" width="9.140625" style="1"/>
    <col min="15873" max="15873" width="5.140625" style="1" customWidth="1"/>
    <col min="15874" max="15874" width="46.85546875" style="1" customWidth="1"/>
    <col min="15875" max="15875" width="7.140625" style="1" customWidth="1"/>
    <col min="15876" max="15876" width="10.140625" style="1" customWidth="1"/>
    <col min="15877" max="15877" width="11.28515625" style="1" customWidth="1"/>
    <col min="15878" max="15878" width="13.7109375" style="1" customWidth="1"/>
    <col min="15879" max="16128" width="9.140625" style="1"/>
    <col min="16129" max="16129" width="5.140625" style="1" customWidth="1"/>
    <col min="16130" max="16130" width="46.85546875" style="1" customWidth="1"/>
    <col min="16131" max="16131" width="7.140625" style="1" customWidth="1"/>
    <col min="16132" max="16132" width="10.140625" style="1" customWidth="1"/>
    <col min="16133" max="16133" width="11.28515625" style="1" customWidth="1"/>
    <col min="16134" max="16134" width="13.7109375" style="1" customWidth="1"/>
    <col min="16135" max="16384" width="9.140625" style="1"/>
  </cols>
  <sheetData>
    <row r="1" spans="1:6" ht="50.25" customHeight="1">
      <c r="A1" s="1558"/>
      <c r="B1" s="1558"/>
      <c r="C1" s="1559" t="s">
        <v>1085</v>
      </c>
      <c r="D1" s="1559"/>
      <c r="E1" s="1559"/>
      <c r="F1" s="1559"/>
    </row>
    <row r="2" spans="1:6" ht="15">
      <c r="A2" s="1560" t="s">
        <v>61</v>
      </c>
      <c r="B2" s="1560"/>
      <c r="C2" s="1560"/>
      <c r="D2" s="1560"/>
      <c r="E2" s="1560"/>
      <c r="F2" s="1560"/>
    </row>
    <row r="3" spans="1:6" ht="9" customHeight="1">
      <c r="A3" s="53"/>
      <c r="B3" s="53"/>
      <c r="C3" s="53"/>
      <c r="D3" s="53"/>
      <c r="E3" s="53"/>
      <c r="F3" s="53"/>
    </row>
    <row r="4" spans="1:6" ht="15" thickBot="1">
      <c r="A4" s="1561" t="s">
        <v>27</v>
      </c>
      <c r="B4" s="1561"/>
      <c r="C4" s="1561"/>
      <c r="D4" s="1561"/>
      <c r="E4" s="1561"/>
      <c r="F4" s="1561"/>
    </row>
    <row r="5" spans="1:6" ht="35.25" customHeight="1" thickBot="1">
      <c r="A5" s="52" t="s">
        <v>18</v>
      </c>
      <c r="B5" s="52" t="s">
        <v>37</v>
      </c>
      <c r="C5" s="52" t="s">
        <v>0</v>
      </c>
      <c r="D5" s="52" t="s">
        <v>1</v>
      </c>
      <c r="E5" s="52" t="s">
        <v>5</v>
      </c>
      <c r="F5" s="51" t="s">
        <v>36</v>
      </c>
    </row>
    <row r="6" spans="1:6">
      <c r="A6" s="42">
        <v>1</v>
      </c>
      <c r="B6" s="3" t="s">
        <v>60</v>
      </c>
      <c r="C6" s="1562">
        <v>921</v>
      </c>
      <c r="D6" s="1565">
        <v>92118</v>
      </c>
      <c r="E6" s="1568">
        <v>2480</v>
      </c>
      <c r="F6" s="41">
        <v>3920000</v>
      </c>
    </row>
    <row r="7" spans="1:6">
      <c r="A7" s="36">
        <v>2</v>
      </c>
      <c r="B7" s="38" t="s">
        <v>59</v>
      </c>
      <c r="C7" s="1563"/>
      <c r="D7" s="1566"/>
      <c r="E7" s="1569"/>
      <c r="F7" s="40">
        <v>2810000</v>
      </c>
    </row>
    <row r="8" spans="1:6">
      <c r="A8" s="36">
        <v>3</v>
      </c>
      <c r="B8" s="38" t="s">
        <v>58</v>
      </c>
      <c r="C8" s="1563"/>
      <c r="D8" s="1566"/>
      <c r="E8" s="1569"/>
      <c r="F8" s="39">
        <v>2800000</v>
      </c>
    </row>
    <row r="9" spans="1:6">
      <c r="A9" s="36">
        <v>4</v>
      </c>
      <c r="B9" s="38" t="s">
        <v>57</v>
      </c>
      <c r="C9" s="1563"/>
      <c r="D9" s="1566"/>
      <c r="E9" s="1569"/>
      <c r="F9" s="39">
        <v>2180000</v>
      </c>
    </row>
    <row r="10" spans="1:6" ht="15" customHeight="1">
      <c r="A10" s="36">
        <v>5</v>
      </c>
      <c r="B10" s="38" t="s">
        <v>56</v>
      </c>
      <c r="C10" s="1563"/>
      <c r="D10" s="1566"/>
      <c r="E10" s="1569"/>
      <c r="F10" s="39">
        <v>3480000</v>
      </c>
    </row>
    <row r="11" spans="1:6">
      <c r="A11" s="36">
        <v>6</v>
      </c>
      <c r="B11" s="38" t="s">
        <v>55</v>
      </c>
      <c r="C11" s="1563"/>
      <c r="D11" s="1566"/>
      <c r="E11" s="1569"/>
      <c r="F11" s="39">
        <v>3200000</v>
      </c>
    </row>
    <row r="12" spans="1:6" ht="13.5" thickBot="1">
      <c r="A12" s="50">
        <v>7</v>
      </c>
      <c r="B12" s="44" t="s">
        <v>54</v>
      </c>
      <c r="C12" s="1563"/>
      <c r="D12" s="1567"/>
      <c r="E12" s="1569"/>
      <c r="F12" s="182">
        <v>525000</v>
      </c>
    </row>
    <row r="13" spans="1:6" ht="13.5" thickBot="1">
      <c r="A13" s="1571" t="s">
        <v>53</v>
      </c>
      <c r="B13" s="1572"/>
      <c r="C13" s="1563"/>
      <c r="D13" s="49">
        <v>92118</v>
      </c>
      <c r="E13" s="1569"/>
      <c r="F13" s="183">
        <f>SUM(F6:F12)</f>
        <v>18915000</v>
      </c>
    </row>
    <row r="14" spans="1:6">
      <c r="A14" s="48">
        <v>8</v>
      </c>
      <c r="B14" s="3" t="s">
        <v>52</v>
      </c>
      <c r="C14" s="1563"/>
      <c r="D14" s="1565">
        <v>92109</v>
      </c>
      <c r="E14" s="1569"/>
      <c r="F14" s="184">
        <v>2950000</v>
      </c>
    </row>
    <row r="15" spans="1:6" ht="13.5" thickBot="1">
      <c r="A15" s="50">
        <v>9</v>
      </c>
      <c r="B15" s="44" t="s">
        <v>51</v>
      </c>
      <c r="C15" s="1563"/>
      <c r="D15" s="1567"/>
      <c r="E15" s="1569"/>
      <c r="F15" s="182">
        <v>1900000</v>
      </c>
    </row>
    <row r="16" spans="1:6" ht="13.5" thickBot="1">
      <c r="A16" s="1571" t="s">
        <v>50</v>
      </c>
      <c r="B16" s="1572"/>
      <c r="C16" s="1563"/>
      <c r="D16" s="49">
        <v>92109</v>
      </c>
      <c r="E16" s="1569"/>
      <c r="F16" s="183">
        <f>SUM(F14:F15)</f>
        <v>4850000</v>
      </c>
    </row>
    <row r="17" spans="1:10">
      <c r="A17" s="48">
        <v>10</v>
      </c>
      <c r="B17" s="3" t="s">
        <v>49</v>
      </c>
      <c r="C17" s="1563"/>
      <c r="D17" s="47">
        <v>92106</v>
      </c>
      <c r="E17" s="1569"/>
      <c r="F17" s="184">
        <v>4386000</v>
      </c>
    </row>
    <row r="18" spans="1:10" ht="25.5">
      <c r="A18" s="36">
        <v>11</v>
      </c>
      <c r="B18" s="38" t="s">
        <v>48</v>
      </c>
      <c r="C18" s="1563"/>
      <c r="D18" s="46">
        <v>92108</v>
      </c>
      <c r="E18" s="1569"/>
      <c r="F18" s="185">
        <v>5800000</v>
      </c>
    </row>
    <row r="19" spans="1:10">
      <c r="A19" s="36">
        <v>12</v>
      </c>
      <c r="B19" s="38" t="s">
        <v>47</v>
      </c>
      <c r="C19" s="1563"/>
      <c r="D19" s="46">
        <v>92110</v>
      </c>
      <c r="E19" s="1569"/>
      <c r="F19" s="185">
        <v>475000</v>
      </c>
    </row>
    <row r="20" spans="1:10" ht="17.25" customHeight="1">
      <c r="A20" s="36">
        <v>13</v>
      </c>
      <c r="B20" s="38" t="s">
        <v>46</v>
      </c>
      <c r="C20" s="1563"/>
      <c r="D20" s="46">
        <v>92114</v>
      </c>
      <c r="E20" s="1569"/>
      <c r="F20" s="185">
        <v>1362000</v>
      </c>
    </row>
    <row r="21" spans="1:10" ht="26.25" thickBot="1">
      <c r="A21" s="45">
        <v>14</v>
      </c>
      <c r="B21" s="44" t="s">
        <v>45</v>
      </c>
      <c r="C21" s="1564"/>
      <c r="D21" s="43">
        <v>92116</v>
      </c>
      <c r="E21" s="1570"/>
      <c r="F21" s="186">
        <v>6905590</v>
      </c>
      <c r="G21" s="2">
        <f>SUM(F17:F21)</f>
        <v>18928590</v>
      </c>
      <c r="J21" s="6"/>
    </row>
    <row r="22" spans="1:10" ht="15.75" thickBot="1">
      <c r="A22" s="1579" t="s">
        <v>44</v>
      </c>
      <c r="B22" s="1580"/>
      <c r="C22" s="1580"/>
      <c r="D22" s="1581"/>
      <c r="E22" s="24"/>
      <c r="F22" s="28">
        <f>SUM(F13,F16,F17:F21)</f>
        <v>42693590</v>
      </c>
      <c r="G22" s="2">
        <f>SUM(F13,F16,G21)</f>
        <v>42693590</v>
      </c>
    </row>
    <row r="23" spans="1:10" ht="25.5">
      <c r="A23" s="42">
        <v>15</v>
      </c>
      <c r="B23" s="3" t="s">
        <v>125</v>
      </c>
      <c r="C23" s="1582">
        <v>851</v>
      </c>
      <c r="D23" s="1568">
        <v>85111</v>
      </c>
      <c r="E23" s="1590">
        <v>2560</v>
      </c>
      <c r="F23" s="41">
        <v>30000</v>
      </c>
    </row>
    <row r="24" spans="1:10" ht="25.5">
      <c r="A24" s="48">
        <v>16</v>
      </c>
      <c r="B24" s="3" t="s">
        <v>124</v>
      </c>
      <c r="C24" s="1583"/>
      <c r="D24" s="1569"/>
      <c r="E24" s="1591"/>
      <c r="F24" s="41">
        <v>30000</v>
      </c>
    </row>
    <row r="25" spans="1:10">
      <c r="A25" s="48">
        <v>17</v>
      </c>
      <c r="B25" s="38" t="s">
        <v>114</v>
      </c>
      <c r="C25" s="1583"/>
      <c r="D25" s="1569"/>
      <c r="E25" s="1591"/>
      <c r="F25" s="40">
        <v>30000</v>
      </c>
    </row>
    <row r="26" spans="1:10" ht="15" customHeight="1">
      <c r="A26" s="36">
        <v>18</v>
      </c>
      <c r="B26" s="38" t="s">
        <v>42</v>
      </c>
      <c r="C26" s="1583"/>
      <c r="D26" s="1569"/>
      <c r="E26" s="1591"/>
      <c r="F26" s="37">
        <v>15950</v>
      </c>
    </row>
    <row r="27" spans="1:10" ht="15" customHeight="1" thickBot="1">
      <c r="A27" s="36">
        <v>19</v>
      </c>
      <c r="B27" s="38" t="s">
        <v>43</v>
      </c>
      <c r="C27" s="1583"/>
      <c r="D27" s="1569"/>
      <c r="E27" s="1591"/>
      <c r="F27" s="39">
        <v>30000</v>
      </c>
      <c r="G27" s="2">
        <f>SUM(F23:F27)</f>
        <v>135950</v>
      </c>
    </row>
    <row r="28" spans="1:10" s="177" customFormat="1" ht="15" customHeight="1" thickBot="1">
      <c r="A28" s="1588" t="s">
        <v>41</v>
      </c>
      <c r="B28" s="1589"/>
      <c r="C28" s="1583"/>
      <c r="D28" s="175">
        <v>85111</v>
      </c>
      <c r="E28" s="1591"/>
      <c r="F28" s="176">
        <f>SUM(F23:F27)</f>
        <v>135950</v>
      </c>
    </row>
    <row r="29" spans="1:10" ht="28.5" customHeight="1">
      <c r="A29" s="530">
        <v>20</v>
      </c>
      <c r="B29" s="541" t="s">
        <v>909</v>
      </c>
      <c r="C29" s="1583"/>
      <c r="D29" s="150">
        <v>85121</v>
      </c>
      <c r="E29" s="1591"/>
      <c r="F29" s="540">
        <v>15000</v>
      </c>
    </row>
    <row r="30" spans="1:10" ht="15.75" customHeight="1" thickBot="1">
      <c r="A30" s="48">
        <v>21</v>
      </c>
      <c r="B30" s="4" t="s">
        <v>40</v>
      </c>
      <c r="C30" s="1583"/>
      <c r="D30" s="35">
        <v>85148</v>
      </c>
      <c r="E30" s="1591"/>
      <c r="F30" s="16">
        <v>1071950</v>
      </c>
    </row>
    <row r="31" spans="1:10" ht="15.75" thickBot="1">
      <c r="A31" s="1579" t="s">
        <v>39</v>
      </c>
      <c r="B31" s="1580"/>
      <c r="C31" s="1580"/>
      <c r="D31" s="1581"/>
      <c r="E31" s="151"/>
      <c r="F31" s="28">
        <f>SUM(F28:F30)</f>
        <v>1222900</v>
      </c>
    </row>
    <row r="32" spans="1:10" ht="13.5" thickBot="1">
      <c r="A32" s="33">
        <v>22</v>
      </c>
      <c r="B32" s="34" t="s">
        <v>38</v>
      </c>
      <c r="C32" s="33">
        <v>853</v>
      </c>
      <c r="D32" s="32">
        <v>85311</v>
      </c>
      <c r="E32" s="31">
        <v>2570</v>
      </c>
      <c r="F32" s="30">
        <v>82223</v>
      </c>
    </row>
    <row r="33" spans="1:8" ht="15.75" thickBot="1">
      <c r="A33" s="1579" t="s">
        <v>29</v>
      </c>
      <c r="B33" s="1580"/>
      <c r="C33" s="1580"/>
      <c r="D33" s="1581"/>
      <c r="E33" s="29"/>
      <c r="F33" s="28">
        <f>SUM(F32:F32)</f>
        <v>82223</v>
      </c>
    </row>
    <row r="34" spans="1:8" ht="22.5" customHeight="1" thickBot="1">
      <c r="A34" s="1573" t="s">
        <v>28</v>
      </c>
      <c r="B34" s="1574"/>
      <c r="C34" s="1574"/>
      <c r="D34" s="1575"/>
      <c r="E34" s="27"/>
      <c r="F34" s="26">
        <f>SUM(F22,F31,F33)</f>
        <v>43998713</v>
      </c>
      <c r="H34" s="2"/>
    </row>
    <row r="35" spans="1:8" ht="10.5" customHeight="1">
      <c r="A35" s="25"/>
      <c r="B35" s="25"/>
      <c r="C35" s="25"/>
      <c r="D35" s="25"/>
      <c r="E35" s="25"/>
      <c r="F35" s="25"/>
    </row>
    <row r="36" spans="1:8" ht="15" thickBot="1">
      <c r="A36" s="1584" t="s">
        <v>26</v>
      </c>
      <c r="B36" s="1584"/>
      <c r="C36" s="1584"/>
      <c r="D36" s="1584"/>
      <c r="E36" s="1584"/>
      <c r="F36" s="1584"/>
    </row>
    <row r="37" spans="1:8" ht="30.75" thickBot="1">
      <c r="A37" s="23" t="s">
        <v>18</v>
      </c>
      <c r="B37" s="24" t="s">
        <v>37</v>
      </c>
      <c r="C37" s="23" t="s">
        <v>0</v>
      </c>
      <c r="D37" s="24" t="s">
        <v>1</v>
      </c>
      <c r="E37" s="23" t="s">
        <v>5</v>
      </c>
      <c r="F37" s="22" t="s">
        <v>36</v>
      </c>
    </row>
    <row r="38" spans="1:8">
      <c r="A38" s="21">
        <v>1</v>
      </c>
      <c r="B38" s="20" t="s">
        <v>35</v>
      </c>
      <c r="C38" s="1585">
        <v>853</v>
      </c>
      <c r="D38" s="1585">
        <v>85311</v>
      </c>
      <c r="E38" s="1568">
        <v>2580</v>
      </c>
      <c r="F38" s="19">
        <v>115112</v>
      </c>
      <c r="H38" s="2"/>
    </row>
    <row r="39" spans="1:8">
      <c r="A39" s="18">
        <v>2</v>
      </c>
      <c r="B39" s="17" t="s">
        <v>34</v>
      </c>
      <c r="C39" s="1586"/>
      <c r="D39" s="1586"/>
      <c r="E39" s="1569"/>
      <c r="F39" s="16">
        <v>106889</v>
      </c>
    </row>
    <row r="40" spans="1:8">
      <c r="A40" s="18">
        <v>3</v>
      </c>
      <c r="B40" s="17" t="s">
        <v>33</v>
      </c>
      <c r="C40" s="1586"/>
      <c r="D40" s="1586"/>
      <c r="E40" s="1569"/>
      <c r="F40" s="16">
        <v>71945</v>
      </c>
    </row>
    <row r="41" spans="1:8">
      <c r="A41" s="18">
        <v>4</v>
      </c>
      <c r="B41" s="17" t="s">
        <v>32</v>
      </c>
      <c r="C41" s="1586"/>
      <c r="D41" s="1586"/>
      <c r="E41" s="1569"/>
      <c r="F41" s="16">
        <v>117167</v>
      </c>
    </row>
    <row r="42" spans="1:8">
      <c r="A42" s="18">
        <v>5</v>
      </c>
      <c r="B42" s="17" t="s">
        <v>31</v>
      </c>
      <c r="C42" s="1586"/>
      <c r="D42" s="1586"/>
      <c r="E42" s="1569"/>
      <c r="F42" s="16">
        <v>65778</v>
      </c>
    </row>
    <row r="43" spans="1:8">
      <c r="A43" s="18">
        <v>6</v>
      </c>
      <c r="B43" s="17" t="s">
        <v>30</v>
      </c>
      <c r="C43" s="1586"/>
      <c r="D43" s="1586"/>
      <c r="E43" s="1569"/>
      <c r="F43" s="16">
        <v>76056</v>
      </c>
    </row>
    <row r="44" spans="1:8">
      <c r="A44" s="166">
        <v>7</v>
      </c>
      <c r="B44" s="168" t="s">
        <v>106</v>
      </c>
      <c r="C44" s="1586"/>
      <c r="D44" s="1586"/>
      <c r="E44" s="1569"/>
      <c r="F44" s="167">
        <v>61667</v>
      </c>
    </row>
    <row r="45" spans="1:8">
      <c r="A45" s="178">
        <v>8</v>
      </c>
      <c r="B45" s="180" t="s">
        <v>119</v>
      </c>
      <c r="C45" s="1586"/>
      <c r="D45" s="1586"/>
      <c r="E45" s="1569"/>
      <c r="F45" s="179">
        <v>51389</v>
      </c>
    </row>
    <row r="46" spans="1:8">
      <c r="A46" s="181">
        <v>9</v>
      </c>
      <c r="B46" s="180" t="s">
        <v>120</v>
      </c>
      <c r="C46" s="1586"/>
      <c r="D46" s="1586"/>
      <c r="E46" s="1569"/>
      <c r="F46" s="179">
        <v>61667</v>
      </c>
    </row>
    <row r="47" spans="1:8">
      <c r="A47" s="178">
        <v>10</v>
      </c>
      <c r="B47" s="168" t="s">
        <v>121</v>
      </c>
      <c r="C47" s="1586"/>
      <c r="D47" s="1586"/>
      <c r="E47" s="1569"/>
      <c r="F47" s="179">
        <v>41112</v>
      </c>
    </row>
    <row r="48" spans="1:8">
      <c r="A48" s="178">
        <v>11</v>
      </c>
      <c r="B48" s="168" t="s">
        <v>122</v>
      </c>
      <c r="C48" s="1586"/>
      <c r="D48" s="1586"/>
      <c r="E48" s="1569"/>
      <c r="F48" s="179">
        <v>45223</v>
      </c>
    </row>
    <row r="49" spans="1:9" ht="13.5" thickBot="1">
      <c r="A49" s="15">
        <v>12</v>
      </c>
      <c r="B49" s="168" t="s">
        <v>123</v>
      </c>
      <c r="C49" s="1587"/>
      <c r="D49" s="1587"/>
      <c r="E49" s="1570"/>
      <c r="F49" s="14">
        <v>43167</v>
      </c>
    </row>
    <row r="50" spans="1:9" ht="15.75" thickBot="1">
      <c r="A50" s="1576" t="s">
        <v>29</v>
      </c>
      <c r="B50" s="1577"/>
      <c r="C50" s="1577"/>
      <c r="D50" s="1578"/>
      <c r="E50" s="13"/>
      <c r="F50" s="12">
        <f>SUM(F38:F49)</f>
        <v>857172</v>
      </c>
      <c r="G50" s="2"/>
    </row>
    <row r="51" spans="1:9" ht="20.25" customHeight="1" thickBot="1">
      <c r="A51" s="1573" t="s">
        <v>28</v>
      </c>
      <c r="B51" s="1574"/>
      <c r="C51" s="1574"/>
      <c r="D51" s="1574"/>
      <c r="E51" s="1575"/>
      <c r="F51" s="11">
        <f>SUM(F50)</f>
        <v>857172</v>
      </c>
      <c r="G51" s="2"/>
      <c r="H51" s="2"/>
    </row>
    <row r="53" spans="1:9">
      <c r="F53" s="2"/>
      <c r="G53" s="2"/>
      <c r="H53" s="2"/>
      <c r="I53" s="2"/>
    </row>
    <row r="54" spans="1:9">
      <c r="F54" s="2"/>
      <c r="G54" s="2"/>
      <c r="H54" s="2"/>
      <c r="I54" s="2"/>
    </row>
    <row r="55" spans="1:9">
      <c r="F55" s="2"/>
      <c r="G55" s="2"/>
      <c r="H55" s="2"/>
      <c r="I55" s="2"/>
    </row>
    <row r="56" spans="1:9">
      <c r="F56" s="2"/>
      <c r="G56" s="2"/>
      <c r="H56" s="2"/>
      <c r="I56" s="2"/>
    </row>
    <row r="57" spans="1:9">
      <c r="F57" s="2"/>
      <c r="G57" s="2"/>
      <c r="H57" s="2"/>
      <c r="I57" s="2"/>
    </row>
    <row r="58" spans="1:9">
      <c r="F58" s="2"/>
      <c r="G58" s="2"/>
      <c r="H58" s="2"/>
      <c r="I58" s="2"/>
    </row>
    <row r="59" spans="1:9">
      <c r="F59" s="2"/>
      <c r="G59" s="2"/>
      <c r="H59" s="2"/>
      <c r="I59" s="2"/>
    </row>
    <row r="60" spans="1:9">
      <c r="B60" s="10"/>
      <c r="F60" s="2"/>
      <c r="G60" s="2"/>
      <c r="H60" s="2"/>
      <c r="I60" s="2"/>
    </row>
    <row r="61" spans="1:9">
      <c r="B61" s="10"/>
    </row>
    <row r="62" spans="1:9">
      <c r="B62" s="10"/>
    </row>
  </sheetData>
  <mergeCells count="24">
    <mergeCell ref="A51:E51"/>
    <mergeCell ref="A50:D50"/>
    <mergeCell ref="A22:D22"/>
    <mergeCell ref="C23:C30"/>
    <mergeCell ref="D23:D27"/>
    <mergeCell ref="A33:D33"/>
    <mergeCell ref="A34:D34"/>
    <mergeCell ref="A36:F36"/>
    <mergeCell ref="C38:C49"/>
    <mergeCell ref="D38:D49"/>
    <mergeCell ref="E38:E49"/>
    <mergeCell ref="A28:B28"/>
    <mergeCell ref="E23:E30"/>
    <mergeCell ref="A31:D31"/>
    <mergeCell ref="A1:B1"/>
    <mergeCell ref="C1:F1"/>
    <mergeCell ref="A2:F2"/>
    <mergeCell ref="A4:F4"/>
    <mergeCell ref="C6:C21"/>
    <mergeCell ref="D6:D12"/>
    <mergeCell ref="E6:E21"/>
    <mergeCell ref="A13:B13"/>
    <mergeCell ref="D14:D15"/>
    <mergeCell ref="A16:B16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Footer>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N37"/>
  <sheetViews>
    <sheetView view="pageBreakPreview" topLeftCell="B1" zoomScale="90" zoomScaleNormal="100" zoomScaleSheetLayoutView="90" workbookViewId="0">
      <selection activeCell="A2" sqref="A2:I2"/>
    </sheetView>
  </sheetViews>
  <sheetFormatPr defaultRowHeight="12.75"/>
  <cols>
    <col min="1" max="1" width="6.28515625" style="1" customWidth="1"/>
    <col min="2" max="2" width="34.42578125" style="1" customWidth="1"/>
    <col min="3" max="3" width="9.140625" style="1"/>
    <col min="4" max="4" width="10.28515625" style="1" customWidth="1"/>
    <col min="5" max="8" width="13.7109375" style="1" customWidth="1"/>
    <col min="9" max="9" width="50" style="1" customWidth="1"/>
    <col min="10" max="10" width="20.28515625" style="1" customWidth="1"/>
    <col min="11" max="11" width="16.140625" style="1" customWidth="1"/>
    <col min="12" max="256" width="9.140625" style="1"/>
    <col min="257" max="257" width="6.28515625" style="1" customWidth="1"/>
    <col min="258" max="258" width="34.42578125" style="1" customWidth="1"/>
    <col min="259" max="259" width="9.140625" style="1"/>
    <col min="260" max="260" width="10.28515625" style="1" customWidth="1"/>
    <col min="261" max="262" width="12.7109375" style="1" customWidth="1"/>
    <col min="263" max="263" width="11.85546875" style="1" customWidth="1"/>
    <col min="264" max="264" width="15.140625" style="1" customWidth="1"/>
    <col min="265" max="265" width="49" style="1" customWidth="1"/>
    <col min="266" max="512" width="9.140625" style="1"/>
    <col min="513" max="513" width="6.28515625" style="1" customWidth="1"/>
    <col min="514" max="514" width="34.42578125" style="1" customWidth="1"/>
    <col min="515" max="515" width="9.140625" style="1"/>
    <col min="516" max="516" width="10.28515625" style="1" customWidth="1"/>
    <col min="517" max="518" width="12.7109375" style="1" customWidth="1"/>
    <col min="519" max="519" width="11.85546875" style="1" customWidth="1"/>
    <col min="520" max="520" width="15.140625" style="1" customWidth="1"/>
    <col min="521" max="521" width="49" style="1" customWidth="1"/>
    <col min="522" max="768" width="9.140625" style="1"/>
    <col min="769" max="769" width="6.28515625" style="1" customWidth="1"/>
    <col min="770" max="770" width="34.42578125" style="1" customWidth="1"/>
    <col min="771" max="771" width="9.140625" style="1"/>
    <col min="772" max="772" width="10.28515625" style="1" customWidth="1"/>
    <col min="773" max="774" width="12.7109375" style="1" customWidth="1"/>
    <col min="775" max="775" width="11.85546875" style="1" customWidth="1"/>
    <col min="776" max="776" width="15.140625" style="1" customWidth="1"/>
    <col min="777" max="777" width="49" style="1" customWidth="1"/>
    <col min="778" max="1024" width="9.140625" style="1"/>
    <col min="1025" max="1025" width="6.28515625" style="1" customWidth="1"/>
    <col min="1026" max="1026" width="34.42578125" style="1" customWidth="1"/>
    <col min="1027" max="1027" width="9.140625" style="1"/>
    <col min="1028" max="1028" width="10.28515625" style="1" customWidth="1"/>
    <col min="1029" max="1030" width="12.7109375" style="1" customWidth="1"/>
    <col min="1031" max="1031" width="11.85546875" style="1" customWidth="1"/>
    <col min="1032" max="1032" width="15.140625" style="1" customWidth="1"/>
    <col min="1033" max="1033" width="49" style="1" customWidth="1"/>
    <col min="1034" max="1280" width="9.140625" style="1"/>
    <col min="1281" max="1281" width="6.28515625" style="1" customWidth="1"/>
    <col min="1282" max="1282" width="34.42578125" style="1" customWidth="1"/>
    <col min="1283" max="1283" width="9.140625" style="1"/>
    <col min="1284" max="1284" width="10.28515625" style="1" customWidth="1"/>
    <col min="1285" max="1286" width="12.7109375" style="1" customWidth="1"/>
    <col min="1287" max="1287" width="11.85546875" style="1" customWidth="1"/>
    <col min="1288" max="1288" width="15.140625" style="1" customWidth="1"/>
    <col min="1289" max="1289" width="49" style="1" customWidth="1"/>
    <col min="1290" max="1536" width="9.140625" style="1"/>
    <col min="1537" max="1537" width="6.28515625" style="1" customWidth="1"/>
    <col min="1538" max="1538" width="34.42578125" style="1" customWidth="1"/>
    <col min="1539" max="1539" width="9.140625" style="1"/>
    <col min="1540" max="1540" width="10.28515625" style="1" customWidth="1"/>
    <col min="1541" max="1542" width="12.7109375" style="1" customWidth="1"/>
    <col min="1543" max="1543" width="11.85546875" style="1" customWidth="1"/>
    <col min="1544" max="1544" width="15.140625" style="1" customWidth="1"/>
    <col min="1545" max="1545" width="49" style="1" customWidth="1"/>
    <col min="1546" max="1792" width="9.140625" style="1"/>
    <col min="1793" max="1793" width="6.28515625" style="1" customWidth="1"/>
    <col min="1794" max="1794" width="34.42578125" style="1" customWidth="1"/>
    <col min="1795" max="1795" width="9.140625" style="1"/>
    <col min="1796" max="1796" width="10.28515625" style="1" customWidth="1"/>
    <col min="1797" max="1798" width="12.7109375" style="1" customWidth="1"/>
    <col min="1799" max="1799" width="11.85546875" style="1" customWidth="1"/>
    <col min="1800" max="1800" width="15.140625" style="1" customWidth="1"/>
    <col min="1801" max="1801" width="49" style="1" customWidth="1"/>
    <col min="1802" max="2048" width="9.140625" style="1"/>
    <col min="2049" max="2049" width="6.28515625" style="1" customWidth="1"/>
    <col min="2050" max="2050" width="34.42578125" style="1" customWidth="1"/>
    <col min="2051" max="2051" width="9.140625" style="1"/>
    <col min="2052" max="2052" width="10.28515625" style="1" customWidth="1"/>
    <col min="2053" max="2054" width="12.7109375" style="1" customWidth="1"/>
    <col min="2055" max="2055" width="11.85546875" style="1" customWidth="1"/>
    <col min="2056" max="2056" width="15.140625" style="1" customWidth="1"/>
    <col min="2057" max="2057" width="49" style="1" customWidth="1"/>
    <col min="2058" max="2304" width="9.140625" style="1"/>
    <col min="2305" max="2305" width="6.28515625" style="1" customWidth="1"/>
    <col min="2306" max="2306" width="34.42578125" style="1" customWidth="1"/>
    <col min="2307" max="2307" width="9.140625" style="1"/>
    <col min="2308" max="2308" width="10.28515625" style="1" customWidth="1"/>
    <col min="2309" max="2310" width="12.7109375" style="1" customWidth="1"/>
    <col min="2311" max="2311" width="11.85546875" style="1" customWidth="1"/>
    <col min="2312" max="2312" width="15.140625" style="1" customWidth="1"/>
    <col min="2313" max="2313" width="49" style="1" customWidth="1"/>
    <col min="2314" max="2560" width="9.140625" style="1"/>
    <col min="2561" max="2561" width="6.28515625" style="1" customWidth="1"/>
    <col min="2562" max="2562" width="34.42578125" style="1" customWidth="1"/>
    <col min="2563" max="2563" width="9.140625" style="1"/>
    <col min="2564" max="2564" width="10.28515625" style="1" customWidth="1"/>
    <col min="2565" max="2566" width="12.7109375" style="1" customWidth="1"/>
    <col min="2567" max="2567" width="11.85546875" style="1" customWidth="1"/>
    <col min="2568" max="2568" width="15.140625" style="1" customWidth="1"/>
    <col min="2569" max="2569" width="49" style="1" customWidth="1"/>
    <col min="2570" max="2816" width="9.140625" style="1"/>
    <col min="2817" max="2817" width="6.28515625" style="1" customWidth="1"/>
    <col min="2818" max="2818" width="34.42578125" style="1" customWidth="1"/>
    <col min="2819" max="2819" width="9.140625" style="1"/>
    <col min="2820" max="2820" width="10.28515625" style="1" customWidth="1"/>
    <col min="2821" max="2822" width="12.7109375" style="1" customWidth="1"/>
    <col min="2823" max="2823" width="11.85546875" style="1" customWidth="1"/>
    <col min="2824" max="2824" width="15.140625" style="1" customWidth="1"/>
    <col min="2825" max="2825" width="49" style="1" customWidth="1"/>
    <col min="2826" max="3072" width="9.140625" style="1"/>
    <col min="3073" max="3073" width="6.28515625" style="1" customWidth="1"/>
    <col min="3074" max="3074" width="34.42578125" style="1" customWidth="1"/>
    <col min="3075" max="3075" width="9.140625" style="1"/>
    <col min="3076" max="3076" width="10.28515625" style="1" customWidth="1"/>
    <col min="3077" max="3078" width="12.7109375" style="1" customWidth="1"/>
    <col min="3079" max="3079" width="11.85546875" style="1" customWidth="1"/>
    <col min="3080" max="3080" width="15.140625" style="1" customWidth="1"/>
    <col min="3081" max="3081" width="49" style="1" customWidth="1"/>
    <col min="3082" max="3328" width="9.140625" style="1"/>
    <col min="3329" max="3329" width="6.28515625" style="1" customWidth="1"/>
    <col min="3330" max="3330" width="34.42578125" style="1" customWidth="1"/>
    <col min="3331" max="3331" width="9.140625" style="1"/>
    <col min="3332" max="3332" width="10.28515625" style="1" customWidth="1"/>
    <col min="3333" max="3334" width="12.7109375" style="1" customWidth="1"/>
    <col min="3335" max="3335" width="11.85546875" style="1" customWidth="1"/>
    <col min="3336" max="3336" width="15.140625" style="1" customWidth="1"/>
    <col min="3337" max="3337" width="49" style="1" customWidth="1"/>
    <col min="3338" max="3584" width="9.140625" style="1"/>
    <col min="3585" max="3585" width="6.28515625" style="1" customWidth="1"/>
    <col min="3586" max="3586" width="34.42578125" style="1" customWidth="1"/>
    <col min="3587" max="3587" width="9.140625" style="1"/>
    <col min="3588" max="3588" width="10.28515625" style="1" customWidth="1"/>
    <col min="3589" max="3590" width="12.7109375" style="1" customWidth="1"/>
    <col min="3591" max="3591" width="11.85546875" style="1" customWidth="1"/>
    <col min="3592" max="3592" width="15.140625" style="1" customWidth="1"/>
    <col min="3593" max="3593" width="49" style="1" customWidth="1"/>
    <col min="3594" max="3840" width="9.140625" style="1"/>
    <col min="3841" max="3841" width="6.28515625" style="1" customWidth="1"/>
    <col min="3842" max="3842" width="34.42578125" style="1" customWidth="1"/>
    <col min="3843" max="3843" width="9.140625" style="1"/>
    <col min="3844" max="3844" width="10.28515625" style="1" customWidth="1"/>
    <col min="3845" max="3846" width="12.7109375" style="1" customWidth="1"/>
    <col min="3847" max="3847" width="11.85546875" style="1" customWidth="1"/>
    <col min="3848" max="3848" width="15.140625" style="1" customWidth="1"/>
    <col min="3849" max="3849" width="49" style="1" customWidth="1"/>
    <col min="3850" max="4096" width="9.140625" style="1"/>
    <col min="4097" max="4097" width="6.28515625" style="1" customWidth="1"/>
    <col min="4098" max="4098" width="34.42578125" style="1" customWidth="1"/>
    <col min="4099" max="4099" width="9.140625" style="1"/>
    <col min="4100" max="4100" width="10.28515625" style="1" customWidth="1"/>
    <col min="4101" max="4102" width="12.7109375" style="1" customWidth="1"/>
    <col min="4103" max="4103" width="11.85546875" style="1" customWidth="1"/>
    <col min="4104" max="4104" width="15.140625" style="1" customWidth="1"/>
    <col min="4105" max="4105" width="49" style="1" customWidth="1"/>
    <col min="4106" max="4352" width="9.140625" style="1"/>
    <col min="4353" max="4353" width="6.28515625" style="1" customWidth="1"/>
    <col min="4354" max="4354" width="34.42578125" style="1" customWidth="1"/>
    <col min="4355" max="4355" width="9.140625" style="1"/>
    <col min="4356" max="4356" width="10.28515625" style="1" customWidth="1"/>
    <col min="4357" max="4358" width="12.7109375" style="1" customWidth="1"/>
    <col min="4359" max="4359" width="11.85546875" style="1" customWidth="1"/>
    <col min="4360" max="4360" width="15.140625" style="1" customWidth="1"/>
    <col min="4361" max="4361" width="49" style="1" customWidth="1"/>
    <col min="4362" max="4608" width="9.140625" style="1"/>
    <col min="4609" max="4609" width="6.28515625" style="1" customWidth="1"/>
    <col min="4610" max="4610" width="34.42578125" style="1" customWidth="1"/>
    <col min="4611" max="4611" width="9.140625" style="1"/>
    <col min="4612" max="4612" width="10.28515625" style="1" customWidth="1"/>
    <col min="4613" max="4614" width="12.7109375" style="1" customWidth="1"/>
    <col min="4615" max="4615" width="11.85546875" style="1" customWidth="1"/>
    <col min="4616" max="4616" width="15.140625" style="1" customWidth="1"/>
    <col min="4617" max="4617" width="49" style="1" customWidth="1"/>
    <col min="4618" max="4864" width="9.140625" style="1"/>
    <col min="4865" max="4865" width="6.28515625" style="1" customWidth="1"/>
    <col min="4866" max="4866" width="34.42578125" style="1" customWidth="1"/>
    <col min="4867" max="4867" width="9.140625" style="1"/>
    <col min="4868" max="4868" width="10.28515625" style="1" customWidth="1"/>
    <col min="4869" max="4870" width="12.7109375" style="1" customWidth="1"/>
    <col min="4871" max="4871" width="11.85546875" style="1" customWidth="1"/>
    <col min="4872" max="4872" width="15.140625" style="1" customWidth="1"/>
    <col min="4873" max="4873" width="49" style="1" customWidth="1"/>
    <col min="4874" max="5120" width="9.140625" style="1"/>
    <col min="5121" max="5121" width="6.28515625" style="1" customWidth="1"/>
    <col min="5122" max="5122" width="34.42578125" style="1" customWidth="1"/>
    <col min="5123" max="5123" width="9.140625" style="1"/>
    <col min="5124" max="5124" width="10.28515625" style="1" customWidth="1"/>
    <col min="5125" max="5126" width="12.7109375" style="1" customWidth="1"/>
    <col min="5127" max="5127" width="11.85546875" style="1" customWidth="1"/>
    <col min="5128" max="5128" width="15.140625" style="1" customWidth="1"/>
    <col min="5129" max="5129" width="49" style="1" customWidth="1"/>
    <col min="5130" max="5376" width="9.140625" style="1"/>
    <col min="5377" max="5377" width="6.28515625" style="1" customWidth="1"/>
    <col min="5378" max="5378" width="34.42578125" style="1" customWidth="1"/>
    <col min="5379" max="5379" width="9.140625" style="1"/>
    <col min="5380" max="5380" width="10.28515625" style="1" customWidth="1"/>
    <col min="5381" max="5382" width="12.7109375" style="1" customWidth="1"/>
    <col min="5383" max="5383" width="11.85546875" style="1" customWidth="1"/>
    <col min="5384" max="5384" width="15.140625" style="1" customWidth="1"/>
    <col min="5385" max="5385" width="49" style="1" customWidth="1"/>
    <col min="5386" max="5632" width="9.140625" style="1"/>
    <col min="5633" max="5633" width="6.28515625" style="1" customWidth="1"/>
    <col min="5634" max="5634" width="34.42578125" style="1" customWidth="1"/>
    <col min="5635" max="5635" width="9.140625" style="1"/>
    <col min="5636" max="5636" width="10.28515625" style="1" customWidth="1"/>
    <col min="5637" max="5638" width="12.7109375" style="1" customWidth="1"/>
    <col min="5639" max="5639" width="11.85546875" style="1" customWidth="1"/>
    <col min="5640" max="5640" width="15.140625" style="1" customWidth="1"/>
    <col min="5641" max="5641" width="49" style="1" customWidth="1"/>
    <col min="5642" max="5888" width="9.140625" style="1"/>
    <col min="5889" max="5889" width="6.28515625" style="1" customWidth="1"/>
    <col min="5890" max="5890" width="34.42578125" style="1" customWidth="1"/>
    <col min="5891" max="5891" width="9.140625" style="1"/>
    <col min="5892" max="5892" width="10.28515625" style="1" customWidth="1"/>
    <col min="5893" max="5894" width="12.7109375" style="1" customWidth="1"/>
    <col min="5895" max="5895" width="11.85546875" style="1" customWidth="1"/>
    <col min="5896" max="5896" width="15.140625" style="1" customWidth="1"/>
    <col min="5897" max="5897" width="49" style="1" customWidth="1"/>
    <col min="5898" max="6144" width="9.140625" style="1"/>
    <col min="6145" max="6145" width="6.28515625" style="1" customWidth="1"/>
    <col min="6146" max="6146" width="34.42578125" style="1" customWidth="1"/>
    <col min="6147" max="6147" width="9.140625" style="1"/>
    <col min="6148" max="6148" width="10.28515625" style="1" customWidth="1"/>
    <col min="6149" max="6150" width="12.7109375" style="1" customWidth="1"/>
    <col min="6151" max="6151" width="11.85546875" style="1" customWidth="1"/>
    <col min="6152" max="6152" width="15.140625" style="1" customWidth="1"/>
    <col min="6153" max="6153" width="49" style="1" customWidth="1"/>
    <col min="6154" max="6400" width="9.140625" style="1"/>
    <col min="6401" max="6401" width="6.28515625" style="1" customWidth="1"/>
    <col min="6402" max="6402" width="34.42578125" style="1" customWidth="1"/>
    <col min="6403" max="6403" width="9.140625" style="1"/>
    <col min="6404" max="6404" width="10.28515625" style="1" customWidth="1"/>
    <col min="6405" max="6406" width="12.7109375" style="1" customWidth="1"/>
    <col min="6407" max="6407" width="11.85546875" style="1" customWidth="1"/>
    <col min="6408" max="6408" width="15.140625" style="1" customWidth="1"/>
    <col min="6409" max="6409" width="49" style="1" customWidth="1"/>
    <col min="6410" max="6656" width="9.140625" style="1"/>
    <col min="6657" max="6657" width="6.28515625" style="1" customWidth="1"/>
    <col min="6658" max="6658" width="34.42578125" style="1" customWidth="1"/>
    <col min="6659" max="6659" width="9.140625" style="1"/>
    <col min="6660" max="6660" width="10.28515625" style="1" customWidth="1"/>
    <col min="6661" max="6662" width="12.7109375" style="1" customWidth="1"/>
    <col min="6663" max="6663" width="11.85546875" style="1" customWidth="1"/>
    <col min="6664" max="6664" width="15.140625" style="1" customWidth="1"/>
    <col min="6665" max="6665" width="49" style="1" customWidth="1"/>
    <col min="6666" max="6912" width="9.140625" style="1"/>
    <col min="6913" max="6913" width="6.28515625" style="1" customWidth="1"/>
    <col min="6914" max="6914" width="34.42578125" style="1" customWidth="1"/>
    <col min="6915" max="6915" width="9.140625" style="1"/>
    <col min="6916" max="6916" width="10.28515625" style="1" customWidth="1"/>
    <col min="6917" max="6918" width="12.7109375" style="1" customWidth="1"/>
    <col min="6919" max="6919" width="11.85546875" style="1" customWidth="1"/>
    <col min="6920" max="6920" width="15.140625" style="1" customWidth="1"/>
    <col min="6921" max="6921" width="49" style="1" customWidth="1"/>
    <col min="6922" max="7168" width="9.140625" style="1"/>
    <col min="7169" max="7169" width="6.28515625" style="1" customWidth="1"/>
    <col min="7170" max="7170" width="34.42578125" style="1" customWidth="1"/>
    <col min="7171" max="7171" width="9.140625" style="1"/>
    <col min="7172" max="7172" width="10.28515625" style="1" customWidth="1"/>
    <col min="7173" max="7174" width="12.7109375" style="1" customWidth="1"/>
    <col min="7175" max="7175" width="11.85546875" style="1" customWidth="1"/>
    <col min="7176" max="7176" width="15.140625" style="1" customWidth="1"/>
    <col min="7177" max="7177" width="49" style="1" customWidth="1"/>
    <col min="7178" max="7424" width="9.140625" style="1"/>
    <col min="7425" max="7425" width="6.28515625" style="1" customWidth="1"/>
    <col min="7426" max="7426" width="34.42578125" style="1" customWidth="1"/>
    <col min="7427" max="7427" width="9.140625" style="1"/>
    <col min="7428" max="7428" width="10.28515625" style="1" customWidth="1"/>
    <col min="7429" max="7430" width="12.7109375" style="1" customWidth="1"/>
    <col min="7431" max="7431" width="11.85546875" style="1" customWidth="1"/>
    <col min="7432" max="7432" width="15.140625" style="1" customWidth="1"/>
    <col min="7433" max="7433" width="49" style="1" customWidth="1"/>
    <col min="7434" max="7680" width="9.140625" style="1"/>
    <col min="7681" max="7681" width="6.28515625" style="1" customWidth="1"/>
    <col min="7682" max="7682" width="34.42578125" style="1" customWidth="1"/>
    <col min="7683" max="7683" width="9.140625" style="1"/>
    <col min="7684" max="7684" width="10.28515625" style="1" customWidth="1"/>
    <col min="7685" max="7686" width="12.7109375" style="1" customWidth="1"/>
    <col min="7687" max="7687" width="11.85546875" style="1" customWidth="1"/>
    <col min="7688" max="7688" width="15.140625" style="1" customWidth="1"/>
    <col min="7689" max="7689" width="49" style="1" customWidth="1"/>
    <col min="7690" max="7936" width="9.140625" style="1"/>
    <col min="7937" max="7937" width="6.28515625" style="1" customWidth="1"/>
    <col min="7938" max="7938" width="34.42578125" style="1" customWidth="1"/>
    <col min="7939" max="7939" width="9.140625" style="1"/>
    <col min="7940" max="7940" width="10.28515625" style="1" customWidth="1"/>
    <col min="7941" max="7942" width="12.7109375" style="1" customWidth="1"/>
    <col min="7943" max="7943" width="11.85546875" style="1" customWidth="1"/>
    <col min="7944" max="7944" width="15.140625" style="1" customWidth="1"/>
    <col min="7945" max="7945" width="49" style="1" customWidth="1"/>
    <col min="7946" max="8192" width="9.140625" style="1"/>
    <col min="8193" max="8193" width="6.28515625" style="1" customWidth="1"/>
    <col min="8194" max="8194" width="34.42578125" style="1" customWidth="1"/>
    <col min="8195" max="8195" width="9.140625" style="1"/>
    <col min="8196" max="8196" width="10.28515625" style="1" customWidth="1"/>
    <col min="8197" max="8198" width="12.7109375" style="1" customWidth="1"/>
    <col min="8199" max="8199" width="11.85546875" style="1" customWidth="1"/>
    <col min="8200" max="8200" width="15.140625" style="1" customWidth="1"/>
    <col min="8201" max="8201" width="49" style="1" customWidth="1"/>
    <col min="8202" max="8448" width="9.140625" style="1"/>
    <col min="8449" max="8449" width="6.28515625" style="1" customWidth="1"/>
    <col min="8450" max="8450" width="34.42578125" style="1" customWidth="1"/>
    <col min="8451" max="8451" width="9.140625" style="1"/>
    <col min="8452" max="8452" width="10.28515625" style="1" customWidth="1"/>
    <col min="8453" max="8454" width="12.7109375" style="1" customWidth="1"/>
    <col min="8455" max="8455" width="11.85546875" style="1" customWidth="1"/>
    <col min="8456" max="8456" width="15.140625" style="1" customWidth="1"/>
    <col min="8457" max="8457" width="49" style="1" customWidth="1"/>
    <col min="8458" max="8704" width="9.140625" style="1"/>
    <col min="8705" max="8705" width="6.28515625" style="1" customWidth="1"/>
    <col min="8706" max="8706" width="34.42578125" style="1" customWidth="1"/>
    <col min="8707" max="8707" width="9.140625" style="1"/>
    <col min="8708" max="8708" width="10.28515625" style="1" customWidth="1"/>
    <col min="8709" max="8710" width="12.7109375" style="1" customWidth="1"/>
    <col min="8711" max="8711" width="11.85546875" style="1" customWidth="1"/>
    <col min="8712" max="8712" width="15.140625" style="1" customWidth="1"/>
    <col min="8713" max="8713" width="49" style="1" customWidth="1"/>
    <col min="8714" max="8960" width="9.140625" style="1"/>
    <col min="8961" max="8961" width="6.28515625" style="1" customWidth="1"/>
    <col min="8962" max="8962" width="34.42578125" style="1" customWidth="1"/>
    <col min="8963" max="8963" width="9.140625" style="1"/>
    <col min="8964" max="8964" width="10.28515625" style="1" customWidth="1"/>
    <col min="8965" max="8966" width="12.7109375" style="1" customWidth="1"/>
    <col min="8967" max="8967" width="11.85546875" style="1" customWidth="1"/>
    <col min="8968" max="8968" width="15.140625" style="1" customWidth="1"/>
    <col min="8969" max="8969" width="49" style="1" customWidth="1"/>
    <col min="8970" max="9216" width="9.140625" style="1"/>
    <col min="9217" max="9217" width="6.28515625" style="1" customWidth="1"/>
    <col min="9218" max="9218" width="34.42578125" style="1" customWidth="1"/>
    <col min="9219" max="9219" width="9.140625" style="1"/>
    <col min="9220" max="9220" width="10.28515625" style="1" customWidth="1"/>
    <col min="9221" max="9222" width="12.7109375" style="1" customWidth="1"/>
    <col min="9223" max="9223" width="11.85546875" style="1" customWidth="1"/>
    <col min="9224" max="9224" width="15.140625" style="1" customWidth="1"/>
    <col min="9225" max="9225" width="49" style="1" customWidth="1"/>
    <col min="9226" max="9472" width="9.140625" style="1"/>
    <col min="9473" max="9473" width="6.28515625" style="1" customWidth="1"/>
    <col min="9474" max="9474" width="34.42578125" style="1" customWidth="1"/>
    <col min="9475" max="9475" width="9.140625" style="1"/>
    <col min="9476" max="9476" width="10.28515625" style="1" customWidth="1"/>
    <col min="9477" max="9478" width="12.7109375" style="1" customWidth="1"/>
    <col min="9479" max="9479" width="11.85546875" style="1" customWidth="1"/>
    <col min="9480" max="9480" width="15.140625" style="1" customWidth="1"/>
    <col min="9481" max="9481" width="49" style="1" customWidth="1"/>
    <col min="9482" max="9728" width="9.140625" style="1"/>
    <col min="9729" max="9729" width="6.28515625" style="1" customWidth="1"/>
    <col min="9730" max="9730" width="34.42578125" style="1" customWidth="1"/>
    <col min="9731" max="9731" width="9.140625" style="1"/>
    <col min="9732" max="9732" width="10.28515625" style="1" customWidth="1"/>
    <col min="9733" max="9734" width="12.7109375" style="1" customWidth="1"/>
    <col min="9735" max="9735" width="11.85546875" style="1" customWidth="1"/>
    <col min="9736" max="9736" width="15.140625" style="1" customWidth="1"/>
    <col min="9737" max="9737" width="49" style="1" customWidth="1"/>
    <col min="9738" max="9984" width="9.140625" style="1"/>
    <col min="9985" max="9985" width="6.28515625" style="1" customWidth="1"/>
    <col min="9986" max="9986" width="34.42578125" style="1" customWidth="1"/>
    <col min="9987" max="9987" width="9.140625" style="1"/>
    <col min="9988" max="9988" width="10.28515625" style="1" customWidth="1"/>
    <col min="9989" max="9990" width="12.7109375" style="1" customWidth="1"/>
    <col min="9991" max="9991" width="11.85546875" style="1" customWidth="1"/>
    <col min="9992" max="9992" width="15.140625" style="1" customWidth="1"/>
    <col min="9993" max="9993" width="49" style="1" customWidth="1"/>
    <col min="9994" max="10240" width="9.140625" style="1"/>
    <col min="10241" max="10241" width="6.28515625" style="1" customWidth="1"/>
    <col min="10242" max="10242" width="34.42578125" style="1" customWidth="1"/>
    <col min="10243" max="10243" width="9.140625" style="1"/>
    <col min="10244" max="10244" width="10.28515625" style="1" customWidth="1"/>
    <col min="10245" max="10246" width="12.7109375" style="1" customWidth="1"/>
    <col min="10247" max="10247" width="11.85546875" style="1" customWidth="1"/>
    <col min="10248" max="10248" width="15.140625" style="1" customWidth="1"/>
    <col min="10249" max="10249" width="49" style="1" customWidth="1"/>
    <col min="10250" max="10496" width="9.140625" style="1"/>
    <col min="10497" max="10497" width="6.28515625" style="1" customWidth="1"/>
    <col min="10498" max="10498" width="34.42578125" style="1" customWidth="1"/>
    <col min="10499" max="10499" width="9.140625" style="1"/>
    <col min="10500" max="10500" width="10.28515625" style="1" customWidth="1"/>
    <col min="10501" max="10502" width="12.7109375" style="1" customWidth="1"/>
    <col min="10503" max="10503" width="11.85546875" style="1" customWidth="1"/>
    <col min="10504" max="10504" width="15.140625" style="1" customWidth="1"/>
    <col min="10505" max="10505" width="49" style="1" customWidth="1"/>
    <col min="10506" max="10752" width="9.140625" style="1"/>
    <col min="10753" max="10753" width="6.28515625" style="1" customWidth="1"/>
    <col min="10754" max="10754" width="34.42578125" style="1" customWidth="1"/>
    <col min="10755" max="10755" width="9.140625" style="1"/>
    <col min="10756" max="10756" width="10.28515625" style="1" customWidth="1"/>
    <col min="10757" max="10758" width="12.7109375" style="1" customWidth="1"/>
    <col min="10759" max="10759" width="11.85546875" style="1" customWidth="1"/>
    <col min="10760" max="10760" width="15.140625" style="1" customWidth="1"/>
    <col min="10761" max="10761" width="49" style="1" customWidth="1"/>
    <col min="10762" max="11008" width="9.140625" style="1"/>
    <col min="11009" max="11009" width="6.28515625" style="1" customWidth="1"/>
    <col min="11010" max="11010" width="34.42578125" style="1" customWidth="1"/>
    <col min="11011" max="11011" width="9.140625" style="1"/>
    <col min="11012" max="11012" width="10.28515625" style="1" customWidth="1"/>
    <col min="11013" max="11014" width="12.7109375" style="1" customWidth="1"/>
    <col min="11015" max="11015" width="11.85546875" style="1" customWidth="1"/>
    <col min="11016" max="11016" width="15.140625" style="1" customWidth="1"/>
    <col min="11017" max="11017" width="49" style="1" customWidth="1"/>
    <col min="11018" max="11264" width="9.140625" style="1"/>
    <col min="11265" max="11265" width="6.28515625" style="1" customWidth="1"/>
    <col min="11266" max="11266" width="34.42578125" style="1" customWidth="1"/>
    <col min="11267" max="11267" width="9.140625" style="1"/>
    <col min="11268" max="11268" width="10.28515625" style="1" customWidth="1"/>
    <col min="11269" max="11270" width="12.7109375" style="1" customWidth="1"/>
    <col min="11271" max="11271" width="11.85546875" style="1" customWidth="1"/>
    <col min="11272" max="11272" width="15.140625" style="1" customWidth="1"/>
    <col min="11273" max="11273" width="49" style="1" customWidth="1"/>
    <col min="11274" max="11520" width="9.140625" style="1"/>
    <col min="11521" max="11521" width="6.28515625" style="1" customWidth="1"/>
    <col min="11522" max="11522" width="34.42578125" style="1" customWidth="1"/>
    <col min="11523" max="11523" width="9.140625" style="1"/>
    <col min="11524" max="11524" width="10.28515625" style="1" customWidth="1"/>
    <col min="11525" max="11526" width="12.7109375" style="1" customWidth="1"/>
    <col min="11527" max="11527" width="11.85546875" style="1" customWidth="1"/>
    <col min="11528" max="11528" width="15.140625" style="1" customWidth="1"/>
    <col min="11529" max="11529" width="49" style="1" customWidth="1"/>
    <col min="11530" max="11776" width="9.140625" style="1"/>
    <col min="11777" max="11777" width="6.28515625" style="1" customWidth="1"/>
    <col min="11778" max="11778" width="34.42578125" style="1" customWidth="1"/>
    <col min="11779" max="11779" width="9.140625" style="1"/>
    <col min="11780" max="11780" width="10.28515625" style="1" customWidth="1"/>
    <col min="11781" max="11782" width="12.7109375" style="1" customWidth="1"/>
    <col min="11783" max="11783" width="11.85546875" style="1" customWidth="1"/>
    <col min="11784" max="11784" width="15.140625" style="1" customWidth="1"/>
    <col min="11785" max="11785" width="49" style="1" customWidth="1"/>
    <col min="11786" max="12032" width="9.140625" style="1"/>
    <col min="12033" max="12033" width="6.28515625" style="1" customWidth="1"/>
    <col min="12034" max="12034" width="34.42578125" style="1" customWidth="1"/>
    <col min="12035" max="12035" width="9.140625" style="1"/>
    <col min="12036" max="12036" width="10.28515625" style="1" customWidth="1"/>
    <col min="12037" max="12038" width="12.7109375" style="1" customWidth="1"/>
    <col min="12039" max="12039" width="11.85546875" style="1" customWidth="1"/>
    <col min="12040" max="12040" width="15.140625" style="1" customWidth="1"/>
    <col min="12041" max="12041" width="49" style="1" customWidth="1"/>
    <col min="12042" max="12288" width="9.140625" style="1"/>
    <col min="12289" max="12289" width="6.28515625" style="1" customWidth="1"/>
    <col min="12290" max="12290" width="34.42578125" style="1" customWidth="1"/>
    <col min="12291" max="12291" width="9.140625" style="1"/>
    <col min="12292" max="12292" width="10.28515625" style="1" customWidth="1"/>
    <col min="12293" max="12294" width="12.7109375" style="1" customWidth="1"/>
    <col min="12295" max="12295" width="11.85546875" style="1" customWidth="1"/>
    <col min="12296" max="12296" width="15.140625" style="1" customWidth="1"/>
    <col min="12297" max="12297" width="49" style="1" customWidth="1"/>
    <col min="12298" max="12544" width="9.140625" style="1"/>
    <col min="12545" max="12545" width="6.28515625" style="1" customWidth="1"/>
    <col min="12546" max="12546" width="34.42578125" style="1" customWidth="1"/>
    <col min="12547" max="12547" width="9.140625" style="1"/>
    <col min="12548" max="12548" width="10.28515625" style="1" customWidth="1"/>
    <col min="12549" max="12550" width="12.7109375" style="1" customWidth="1"/>
    <col min="12551" max="12551" width="11.85546875" style="1" customWidth="1"/>
    <col min="12552" max="12552" width="15.140625" style="1" customWidth="1"/>
    <col min="12553" max="12553" width="49" style="1" customWidth="1"/>
    <col min="12554" max="12800" width="9.140625" style="1"/>
    <col min="12801" max="12801" width="6.28515625" style="1" customWidth="1"/>
    <col min="12802" max="12802" width="34.42578125" style="1" customWidth="1"/>
    <col min="12803" max="12803" width="9.140625" style="1"/>
    <col min="12804" max="12804" width="10.28515625" style="1" customWidth="1"/>
    <col min="12805" max="12806" width="12.7109375" style="1" customWidth="1"/>
    <col min="12807" max="12807" width="11.85546875" style="1" customWidth="1"/>
    <col min="12808" max="12808" width="15.140625" style="1" customWidth="1"/>
    <col min="12809" max="12809" width="49" style="1" customWidth="1"/>
    <col min="12810" max="13056" width="9.140625" style="1"/>
    <col min="13057" max="13057" width="6.28515625" style="1" customWidth="1"/>
    <col min="13058" max="13058" width="34.42578125" style="1" customWidth="1"/>
    <col min="13059" max="13059" width="9.140625" style="1"/>
    <col min="13060" max="13060" width="10.28515625" style="1" customWidth="1"/>
    <col min="13061" max="13062" width="12.7109375" style="1" customWidth="1"/>
    <col min="13063" max="13063" width="11.85546875" style="1" customWidth="1"/>
    <col min="13064" max="13064" width="15.140625" style="1" customWidth="1"/>
    <col min="13065" max="13065" width="49" style="1" customWidth="1"/>
    <col min="13066" max="13312" width="9.140625" style="1"/>
    <col min="13313" max="13313" width="6.28515625" style="1" customWidth="1"/>
    <col min="13314" max="13314" width="34.42578125" style="1" customWidth="1"/>
    <col min="13315" max="13315" width="9.140625" style="1"/>
    <col min="13316" max="13316" width="10.28515625" style="1" customWidth="1"/>
    <col min="13317" max="13318" width="12.7109375" style="1" customWidth="1"/>
    <col min="13319" max="13319" width="11.85546875" style="1" customWidth="1"/>
    <col min="13320" max="13320" width="15.140625" style="1" customWidth="1"/>
    <col min="13321" max="13321" width="49" style="1" customWidth="1"/>
    <col min="13322" max="13568" width="9.140625" style="1"/>
    <col min="13569" max="13569" width="6.28515625" style="1" customWidth="1"/>
    <col min="13570" max="13570" width="34.42578125" style="1" customWidth="1"/>
    <col min="13571" max="13571" width="9.140625" style="1"/>
    <col min="13572" max="13572" width="10.28515625" style="1" customWidth="1"/>
    <col min="13573" max="13574" width="12.7109375" style="1" customWidth="1"/>
    <col min="13575" max="13575" width="11.85546875" style="1" customWidth="1"/>
    <col min="13576" max="13576" width="15.140625" style="1" customWidth="1"/>
    <col min="13577" max="13577" width="49" style="1" customWidth="1"/>
    <col min="13578" max="13824" width="9.140625" style="1"/>
    <col min="13825" max="13825" width="6.28515625" style="1" customWidth="1"/>
    <col min="13826" max="13826" width="34.42578125" style="1" customWidth="1"/>
    <col min="13827" max="13827" width="9.140625" style="1"/>
    <col min="13828" max="13828" width="10.28515625" style="1" customWidth="1"/>
    <col min="13829" max="13830" width="12.7109375" style="1" customWidth="1"/>
    <col min="13831" max="13831" width="11.85546875" style="1" customWidth="1"/>
    <col min="13832" max="13832" width="15.140625" style="1" customWidth="1"/>
    <col min="13833" max="13833" width="49" style="1" customWidth="1"/>
    <col min="13834" max="14080" width="9.140625" style="1"/>
    <col min="14081" max="14081" width="6.28515625" style="1" customWidth="1"/>
    <col min="14082" max="14082" width="34.42578125" style="1" customWidth="1"/>
    <col min="14083" max="14083" width="9.140625" style="1"/>
    <col min="14084" max="14084" width="10.28515625" style="1" customWidth="1"/>
    <col min="14085" max="14086" width="12.7109375" style="1" customWidth="1"/>
    <col min="14087" max="14087" width="11.85546875" style="1" customWidth="1"/>
    <col min="14088" max="14088" width="15.140625" style="1" customWidth="1"/>
    <col min="14089" max="14089" width="49" style="1" customWidth="1"/>
    <col min="14090" max="14336" width="9.140625" style="1"/>
    <col min="14337" max="14337" width="6.28515625" style="1" customWidth="1"/>
    <col min="14338" max="14338" width="34.42578125" style="1" customWidth="1"/>
    <col min="14339" max="14339" width="9.140625" style="1"/>
    <col min="14340" max="14340" width="10.28515625" style="1" customWidth="1"/>
    <col min="14341" max="14342" width="12.7109375" style="1" customWidth="1"/>
    <col min="14343" max="14343" width="11.85546875" style="1" customWidth="1"/>
    <col min="14344" max="14344" width="15.140625" style="1" customWidth="1"/>
    <col min="14345" max="14345" width="49" style="1" customWidth="1"/>
    <col min="14346" max="14592" width="9.140625" style="1"/>
    <col min="14593" max="14593" width="6.28515625" style="1" customWidth="1"/>
    <col min="14594" max="14594" width="34.42578125" style="1" customWidth="1"/>
    <col min="14595" max="14595" width="9.140625" style="1"/>
    <col min="14596" max="14596" width="10.28515625" style="1" customWidth="1"/>
    <col min="14597" max="14598" width="12.7109375" style="1" customWidth="1"/>
    <col min="14599" max="14599" width="11.85546875" style="1" customWidth="1"/>
    <col min="14600" max="14600" width="15.140625" style="1" customWidth="1"/>
    <col min="14601" max="14601" width="49" style="1" customWidth="1"/>
    <col min="14602" max="14848" width="9.140625" style="1"/>
    <col min="14849" max="14849" width="6.28515625" style="1" customWidth="1"/>
    <col min="14850" max="14850" width="34.42578125" style="1" customWidth="1"/>
    <col min="14851" max="14851" width="9.140625" style="1"/>
    <col min="14852" max="14852" width="10.28515625" style="1" customWidth="1"/>
    <col min="14853" max="14854" width="12.7109375" style="1" customWidth="1"/>
    <col min="14855" max="14855" width="11.85546875" style="1" customWidth="1"/>
    <col min="14856" max="14856" width="15.140625" style="1" customWidth="1"/>
    <col min="14857" max="14857" width="49" style="1" customWidth="1"/>
    <col min="14858" max="15104" width="9.140625" style="1"/>
    <col min="15105" max="15105" width="6.28515625" style="1" customWidth="1"/>
    <col min="15106" max="15106" width="34.42578125" style="1" customWidth="1"/>
    <col min="15107" max="15107" width="9.140625" style="1"/>
    <col min="15108" max="15108" width="10.28515625" style="1" customWidth="1"/>
    <col min="15109" max="15110" width="12.7109375" style="1" customWidth="1"/>
    <col min="15111" max="15111" width="11.85546875" style="1" customWidth="1"/>
    <col min="15112" max="15112" width="15.140625" style="1" customWidth="1"/>
    <col min="15113" max="15113" width="49" style="1" customWidth="1"/>
    <col min="15114" max="15360" width="9.140625" style="1"/>
    <col min="15361" max="15361" width="6.28515625" style="1" customWidth="1"/>
    <col min="15362" max="15362" width="34.42578125" style="1" customWidth="1"/>
    <col min="15363" max="15363" width="9.140625" style="1"/>
    <col min="15364" max="15364" width="10.28515625" style="1" customWidth="1"/>
    <col min="15365" max="15366" width="12.7109375" style="1" customWidth="1"/>
    <col min="15367" max="15367" width="11.85546875" style="1" customWidth="1"/>
    <col min="15368" max="15368" width="15.140625" style="1" customWidth="1"/>
    <col min="15369" max="15369" width="49" style="1" customWidth="1"/>
    <col min="15370" max="15616" width="9.140625" style="1"/>
    <col min="15617" max="15617" width="6.28515625" style="1" customWidth="1"/>
    <col min="15618" max="15618" width="34.42578125" style="1" customWidth="1"/>
    <col min="15619" max="15619" width="9.140625" style="1"/>
    <col min="15620" max="15620" width="10.28515625" style="1" customWidth="1"/>
    <col min="15621" max="15622" width="12.7109375" style="1" customWidth="1"/>
    <col min="15623" max="15623" width="11.85546875" style="1" customWidth="1"/>
    <col min="15624" max="15624" width="15.140625" style="1" customWidth="1"/>
    <col min="15625" max="15625" width="49" style="1" customWidth="1"/>
    <col min="15626" max="15872" width="9.140625" style="1"/>
    <col min="15873" max="15873" width="6.28515625" style="1" customWidth="1"/>
    <col min="15874" max="15874" width="34.42578125" style="1" customWidth="1"/>
    <col min="15875" max="15875" width="9.140625" style="1"/>
    <col min="15876" max="15876" width="10.28515625" style="1" customWidth="1"/>
    <col min="15877" max="15878" width="12.7109375" style="1" customWidth="1"/>
    <col min="15879" max="15879" width="11.85546875" style="1" customWidth="1"/>
    <col min="15880" max="15880" width="15.140625" style="1" customWidth="1"/>
    <col min="15881" max="15881" width="49" style="1" customWidth="1"/>
    <col min="15882" max="16128" width="9.140625" style="1"/>
    <col min="16129" max="16129" width="6.28515625" style="1" customWidth="1"/>
    <col min="16130" max="16130" width="34.42578125" style="1" customWidth="1"/>
    <col min="16131" max="16131" width="9.140625" style="1"/>
    <col min="16132" max="16132" width="10.28515625" style="1" customWidth="1"/>
    <col min="16133" max="16134" width="12.7109375" style="1" customWidth="1"/>
    <col min="16135" max="16135" width="11.85546875" style="1" customWidth="1"/>
    <col min="16136" max="16136" width="15.140625" style="1" customWidth="1"/>
    <col min="16137" max="16137" width="49" style="1" customWidth="1"/>
    <col min="16138" max="16384" width="9.140625" style="1"/>
  </cols>
  <sheetData>
    <row r="1" spans="1:14" ht="55.5" customHeight="1">
      <c r="A1" s="1558"/>
      <c r="B1" s="1558"/>
      <c r="C1" s="1598"/>
      <c r="D1" s="711"/>
      <c r="E1" s="711"/>
      <c r="F1" s="711"/>
      <c r="G1" s="711"/>
      <c r="H1" s="711"/>
      <c r="I1" s="694" t="s">
        <v>1086</v>
      </c>
    </row>
    <row r="2" spans="1:14" ht="38.25" customHeight="1">
      <c r="A2" s="1599" t="s">
        <v>913</v>
      </c>
      <c r="B2" s="1599"/>
      <c r="C2" s="1599"/>
      <c r="D2" s="1599"/>
      <c r="E2" s="1599"/>
      <c r="F2" s="1599"/>
      <c r="G2" s="1599"/>
      <c r="H2" s="1599"/>
      <c r="I2" s="1599"/>
    </row>
    <row r="3" spans="1:14" ht="36.75" customHeight="1" thickBot="1">
      <c r="A3" s="53"/>
      <c r="B3" s="53"/>
      <c r="C3" s="53"/>
      <c r="D3" s="53"/>
      <c r="E3" s="53"/>
      <c r="F3" s="53"/>
      <c r="G3" s="53"/>
      <c r="H3" s="53"/>
      <c r="I3" s="712" t="s">
        <v>63</v>
      </c>
    </row>
    <row r="4" spans="1:14" ht="21" customHeight="1" thickBot="1">
      <c r="A4" s="1600" t="s">
        <v>18</v>
      </c>
      <c r="B4" s="1580" t="s">
        <v>37</v>
      </c>
      <c r="C4" s="1600" t="s">
        <v>0</v>
      </c>
      <c r="D4" s="1580" t="s">
        <v>1</v>
      </c>
      <c r="E4" s="1601" t="s">
        <v>25</v>
      </c>
      <c r="F4" s="1601" t="s">
        <v>5</v>
      </c>
      <c r="G4" s="1602" t="s">
        <v>62</v>
      </c>
      <c r="H4" s="1603"/>
      <c r="I4" s="1604" t="s">
        <v>914</v>
      </c>
    </row>
    <row r="5" spans="1:14" ht="15" customHeight="1" thickBot="1">
      <c r="A5" s="1600"/>
      <c r="B5" s="1580"/>
      <c r="C5" s="1600"/>
      <c r="D5" s="1580"/>
      <c r="E5" s="1600"/>
      <c r="F5" s="1601"/>
      <c r="G5" s="1602" t="s">
        <v>23</v>
      </c>
      <c r="H5" s="1603" t="s">
        <v>22</v>
      </c>
      <c r="I5" s="1604"/>
    </row>
    <row r="6" spans="1:14" ht="28.5" customHeight="1" thickBot="1">
      <c r="A6" s="1600"/>
      <c r="B6" s="1580"/>
      <c r="C6" s="1600"/>
      <c r="D6" s="1580"/>
      <c r="E6" s="1600"/>
      <c r="F6" s="1601"/>
      <c r="G6" s="1602"/>
      <c r="H6" s="1603"/>
      <c r="I6" s="1604"/>
    </row>
    <row r="7" spans="1:14" ht="46.5" customHeight="1">
      <c r="A7" s="1609">
        <v>1</v>
      </c>
      <c r="B7" s="1612" t="s">
        <v>915</v>
      </c>
      <c r="C7" s="1615" t="s">
        <v>142</v>
      </c>
      <c r="D7" s="1615" t="s">
        <v>239</v>
      </c>
      <c r="E7" s="1618">
        <f>SUM(G7:H10)</f>
        <v>6720000</v>
      </c>
      <c r="F7" s="713">
        <v>2310</v>
      </c>
      <c r="G7" s="714">
        <v>2620000</v>
      </c>
      <c r="H7" s="714"/>
      <c r="I7" s="715" t="s">
        <v>916</v>
      </c>
    </row>
    <row r="8" spans="1:14" ht="52.5" customHeight="1">
      <c r="A8" s="1610"/>
      <c r="B8" s="1613"/>
      <c r="C8" s="1616"/>
      <c r="D8" s="1616"/>
      <c r="E8" s="1619"/>
      <c r="F8" s="716">
        <v>2320</v>
      </c>
      <c r="G8" s="717">
        <v>50000</v>
      </c>
      <c r="H8" s="717"/>
      <c r="I8" s="718" t="s">
        <v>917</v>
      </c>
    </row>
    <row r="9" spans="1:14" ht="37.5" customHeight="1">
      <c r="A9" s="1610"/>
      <c r="B9" s="1614"/>
      <c r="C9" s="1616"/>
      <c r="D9" s="1616"/>
      <c r="E9" s="1619"/>
      <c r="F9" s="719">
        <v>6610</v>
      </c>
      <c r="G9" s="720"/>
      <c r="H9" s="720">
        <v>4000000</v>
      </c>
      <c r="I9" s="721" t="s">
        <v>918</v>
      </c>
    </row>
    <row r="10" spans="1:14" ht="51" customHeight="1" thickBot="1">
      <c r="A10" s="1611"/>
      <c r="B10" s="1089"/>
      <c r="C10" s="1617"/>
      <c r="D10" s="1617"/>
      <c r="E10" s="1620"/>
      <c r="F10" s="722">
        <v>6620</v>
      </c>
      <c r="G10" s="723"/>
      <c r="H10" s="723">
        <v>50000</v>
      </c>
      <c r="I10" s="724" t="s">
        <v>919</v>
      </c>
    </row>
    <row r="11" spans="1:14" ht="53.25" customHeight="1">
      <c r="A11" s="725">
        <v>2</v>
      </c>
      <c r="B11" s="828" t="s">
        <v>920</v>
      </c>
      <c r="C11" s="1621" t="s">
        <v>473</v>
      </c>
      <c r="D11" s="825" t="s">
        <v>475</v>
      </c>
      <c r="E11" s="726">
        <f>SUM(G11:H11)</f>
        <v>200000</v>
      </c>
      <c r="F11" s="713">
        <v>6170</v>
      </c>
      <c r="G11" s="714"/>
      <c r="H11" s="714">
        <v>200000</v>
      </c>
      <c r="I11" s="715" t="s">
        <v>1066</v>
      </c>
    </row>
    <row r="12" spans="1:14" ht="44.25" customHeight="1">
      <c r="A12" s="727">
        <v>3</v>
      </c>
      <c r="B12" s="829" t="s">
        <v>921</v>
      </c>
      <c r="C12" s="1622"/>
      <c r="D12" s="826" t="s">
        <v>481</v>
      </c>
      <c r="E12" s="728">
        <f>SUM(G12:H12)</f>
        <v>150000</v>
      </c>
      <c r="F12" s="716">
        <v>6170</v>
      </c>
      <c r="G12" s="717"/>
      <c r="H12" s="717">
        <v>150000</v>
      </c>
      <c r="I12" s="718" t="s">
        <v>922</v>
      </c>
    </row>
    <row r="13" spans="1:14" ht="46.5" customHeight="1" thickBot="1">
      <c r="A13" s="729">
        <v>4</v>
      </c>
      <c r="B13" s="730" t="s">
        <v>923</v>
      </c>
      <c r="C13" s="1623"/>
      <c r="D13" s="827" t="s">
        <v>483</v>
      </c>
      <c r="E13" s="731">
        <f>SUM(G13:H13)</f>
        <v>200000</v>
      </c>
      <c r="F13" s="722">
        <v>6170</v>
      </c>
      <c r="G13" s="723"/>
      <c r="H13" s="723">
        <v>200000</v>
      </c>
      <c r="I13" s="724" t="s">
        <v>924</v>
      </c>
    </row>
    <row r="14" spans="1:14" ht="72.75" customHeight="1">
      <c r="A14" s="732">
        <v>5</v>
      </c>
      <c r="B14" s="733" t="s">
        <v>124</v>
      </c>
      <c r="C14" s="1595">
        <v>851</v>
      </c>
      <c r="D14" s="1595">
        <v>85111</v>
      </c>
      <c r="E14" s="1624">
        <f>SUM(G14:H15)</f>
        <v>7000000</v>
      </c>
      <c r="F14" s="734">
        <v>6220</v>
      </c>
      <c r="G14" s="735"/>
      <c r="H14" s="735">
        <v>4061800</v>
      </c>
      <c r="I14" s="736" t="s">
        <v>925</v>
      </c>
      <c r="J14" s="2"/>
      <c r="K14" s="1605"/>
      <c r="L14" s="1605"/>
      <c r="M14" s="1605"/>
      <c r="N14" s="1605"/>
    </row>
    <row r="15" spans="1:14" ht="49.5" customHeight="1" thickBot="1">
      <c r="A15" s="1090">
        <v>6</v>
      </c>
      <c r="B15" s="1091" t="s">
        <v>926</v>
      </c>
      <c r="C15" s="1596"/>
      <c r="D15" s="1596"/>
      <c r="E15" s="1625"/>
      <c r="F15" s="1092">
        <v>6220</v>
      </c>
      <c r="G15" s="1093"/>
      <c r="H15" s="1094">
        <v>2938200</v>
      </c>
      <c r="I15" s="1095" t="s">
        <v>927</v>
      </c>
      <c r="K15" s="1605"/>
      <c r="L15" s="1605"/>
      <c r="M15" s="1605"/>
      <c r="N15" s="1605"/>
    </row>
    <row r="16" spans="1:14" ht="102.75" customHeight="1">
      <c r="A16" s="740">
        <v>7</v>
      </c>
      <c r="B16" s="741" t="s">
        <v>928</v>
      </c>
      <c r="C16" s="1606">
        <v>921</v>
      </c>
      <c r="D16" s="742">
        <v>92106</v>
      </c>
      <c r="E16" s="743">
        <f t="shared" ref="E16:E20" si="0">SUM(G16:H16)</f>
        <v>276000</v>
      </c>
      <c r="F16" s="744">
        <v>2800</v>
      </c>
      <c r="G16" s="745">
        <v>276000</v>
      </c>
      <c r="H16" s="745"/>
      <c r="I16" s="746" t="s">
        <v>929</v>
      </c>
      <c r="K16" s="1605"/>
      <c r="L16" s="1605"/>
      <c r="M16" s="1605"/>
      <c r="N16" s="1605"/>
    </row>
    <row r="17" spans="1:14" ht="142.5" customHeight="1">
      <c r="A17" s="737">
        <v>8</v>
      </c>
      <c r="B17" s="747" t="s">
        <v>930</v>
      </c>
      <c r="C17" s="1595"/>
      <c r="D17" s="748">
        <v>92108</v>
      </c>
      <c r="E17" s="749">
        <f t="shared" si="0"/>
        <v>770000</v>
      </c>
      <c r="F17" s="738">
        <v>2800</v>
      </c>
      <c r="G17" s="739">
        <v>770000</v>
      </c>
      <c r="H17" s="739"/>
      <c r="I17" s="750" t="s">
        <v>931</v>
      </c>
      <c r="K17" s="1605"/>
      <c r="L17" s="1605"/>
      <c r="M17" s="1605"/>
      <c r="N17" s="1605"/>
    </row>
    <row r="18" spans="1:14" ht="63.75">
      <c r="A18" s="751">
        <v>9</v>
      </c>
      <c r="B18" s="752" t="s">
        <v>932</v>
      </c>
      <c r="C18" s="1595"/>
      <c r="D18" s="1597">
        <v>92109</v>
      </c>
      <c r="E18" s="1607">
        <f>SUM(G18:H19)</f>
        <v>285000</v>
      </c>
      <c r="F18" s="738">
        <v>2800</v>
      </c>
      <c r="G18" s="739">
        <v>125000</v>
      </c>
      <c r="H18" s="739"/>
      <c r="I18" s="750" t="s">
        <v>1071</v>
      </c>
      <c r="J18" s="2"/>
      <c r="K18" s="1605"/>
      <c r="L18" s="1605"/>
      <c r="M18" s="1605"/>
      <c r="N18" s="1605"/>
    </row>
    <row r="19" spans="1:14" ht="76.5">
      <c r="A19" s="822">
        <v>10</v>
      </c>
      <c r="B19" s="824" t="s">
        <v>51</v>
      </c>
      <c r="C19" s="1595"/>
      <c r="D19" s="1595"/>
      <c r="E19" s="1608"/>
      <c r="F19" s="753">
        <v>2800</v>
      </c>
      <c r="G19" s="754">
        <v>160000</v>
      </c>
      <c r="H19" s="754"/>
      <c r="I19" s="755" t="s">
        <v>933</v>
      </c>
      <c r="K19" s="1605"/>
      <c r="L19" s="1605"/>
      <c r="M19" s="1605"/>
      <c r="N19" s="1605"/>
    </row>
    <row r="20" spans="1:14" ht="51">
      <c r="A20" s="756">
        <v>11</v>
      </c>
      <c r="B20" s="757" t="s">
        <v>934</v>
      </c>
      <c r="C20" s="1595"/>
      <c r="D20" s="748">
        <v>92116</v>
      </c>
      <c r="E20" s="758">
        <f t="shared" si="0"/>
        <v>102000</v>
      </c>
      <c r="F20" s="753">
        <v>2800</v>
      </c>
      <c r="G20" s="754">
        <v>102000</v>
      </c>
      <c r="H20" s="754"/>
      <c r="I20" s="759" t="s">
        <v>1067</v>
      </c>
      <c r="K20" s="1605"/>
      <c r="L20" s="1605"/>
      <c r="M20" s="1605"/>
      <c r="N20" s="1605"/>
    </row>
    <row r="21" spans="1:14" ht="63.75">
      <c r="A21" s="1626">
        <v>12</v>
      </c>
      <c r="B21" s="1628" t="s">
        <v>935</v>
      </c>
      <c r="C21" s="1595"/>
      <c r="D21" s="1597">
        <v>92118</v>
      </c>
      <c r="E21" s="1592">
        <f>SUM(G21:H27)</f>
        <v>2538731</v>
      </c>
      <c r="F21" s="753">
        <v>2800</v>
      </c>
      <c r="G21" s="754">
        <v>235754</v>
      </c>
      <c r="H21" s="754"/>
      <c r="I21" s="759" t="s">
        <v>936</v>
      </c>
      <c r="K21" s="1605"/>
      <c r="L21" s="1605"/>
      <c r="M21" s="1605"/>
      <c r="N21" s="1605"/>
    </row>
    <row r="22" spans="1:14" ht="38.25">
      <c r="A22" s="1627"/>
      <c r="B22" s="1629"/>
      <c r="C22" s="1595"/>
      <c r="D22" s="1595"/>
      <c r="E22" s="1593"/>
      <c r="F22" s="753">
        <v>6220</v>
      </c>
      <c r="G22" s="754"/>
      <c r="H22" s="754">
        <v>1755477</v>
      </c>
      <c r="I22" s="759" t="s">
        <v>1080</v>
      </c>
      <c r="K22" s="1605"/>
      <c r="L22" s="1605"/>
      <c r="M22" s="1605"/>
      <c r="N22" s="1605"/>
    </row>
    <row r="23" spans="1:14" ht="51">
      <c r="A23" s="823">
        <v>13</v>
      </c>
      <c r="B23" s="760" t="s">
        <v>937</v>
      </c>
      <c r="C23" s="1595"/>
      <c r="D23" s="1595"/>
      <c r="E23" s="1593"/>
      <c r="F23" s="753">
        <v>2800</v>
      </c>
      <c r="G23" s="754">
        <v>4500</v>
      </c>
      <c r="H23" s="754"/>
      <c r="I23" s="759" t="s">
        <v>938</v>
      </c>
      <c r="K23" s="1605"/>
      <c r="L23" s="1605"/>
      <c r="M23" s="1605"/>
      <c r="N23" s="1605"/>
    </row>
    <row r="24" spans="1:14" ht="89.25">
      <c r="A24" s="756">
        <v>14</v>
      </c>
      <c r="B24" s="761" t="s">
        <v>58</v>
      </c>
      <c r="C24" s="1595">
        <v>921</v>
      </c>
      <c r="D24" s="1595">
        <v>92118</v>
      </c>
      <c r="E24" s="1593"/>
      <c r="F24" s="753">
        <v>2800</v>
      </c>
      <c r="G24" s="754">
        <v>397500</v>
      </c>
      <c r="H24" s="754"/>
      <c r="I24" s="759" t="s">
        <v>1068</v>
      </c>
      <c r="K24" s="1605"/>
      <c r="L24" s="1605"/>
      <c r="M24" s="1605"/>
      <c r="N24" s="1605"/>
    </row>
    <row r="25" spans="1:14" ht="51">
      <c r="A25" s="822">
        <v>15</v>
      </c>
      <c r="B25" s="762" t="s">
        <v>56</v>
      </c>
      <c r="C25" s="1595"/>
      <c r="D25" s="1595"/>
      <c r="E25" s="1593"/>
      <c r="F25" s="763">
        <v>2800</v>
      </c>
      <c r="G25" s="764">
        <v>30000</v>
      </c>
      <c r="H25" s="764"/>
      <c r="I25" s="765" t="s">
        <v>939</v>
      </c>
      <c r="J25" s="2">
        <f>SUM(G21:G27)</f>
        <v>783254</v>
      </c>
      <c r="K25" s="1605"/>
      <c r="L25" s="1605"/>
      <c r="M25" s="1605"/>
      <c r="N25" s="1605"/>
    </row>
    <row r="26" spans="1:14" ht="76.5">
      <c r="A26" s="822">
        <v>16</v>
      </c>
      <c r="B26" s="762" t="s">
        <v>940</v>
      </c>
      <c r="C26" s="1595"/>
      <c r="D26" s="1595"/>
      <c r="E26" s="1593"/>
      <c r="F26" s="763">
        <v>2800</v>
      </c>
      <c r="G26" s="764">
        <v>45500</v>
      </c>
      <c r="H26" s="764"/>
      <c r="I26" s="765" t="s">
        <v>941</v>
      </c>
      <c r="K26" s="1605"/>
      <c r="L26" s="1605"/>
      <c r="M26" s="1605"/>
      <c r="N26" s="1605"/>
    </row>
    <row r="27" spans="1:14" ht="108" customHeight="1" thickBot="1">
      <c r="A27" s="766">
        <v>17</v>
      </c>
      <c r="B27" s="767" t="s">
        <v>54</v>
      </c>
      <c r="C27" s="1596"/>
      <c r="D27" s="1596"/>
      <c r="E27" s="1594"/>
      <c r="F27" s="768">
        <v>2800</v>
      </c>
      <c r="G27" s="769">
        <v>70000</v>
      </c>
      <c r="H27" s="769"/>
      <c r="I27" s="770" t="s">
        <v>942</v>
      </c>
      <c r="K27" s="1605"/>
      <c r="L27" s="1605"/>
      <c r="M27" s="1605"/>
      <c r="N27" s="1605"/>
    </row>
    <row r="28" spans="1:14" ht="31.5" customHeight="1" thickBot="1">
      <c r="A28" s="1579" t="s">
        <v>25</v>
      </c>
      <c r="B28" s="1580"/>
      <c r="C28" s="1580"/>
      <c r="D28" s="1580"/>
      <c r="E28" s="56">
        <f>SUM(E7:E27)</f>
        <v>18241731</v>
      </c>
      <c r="F28" s="192"/>
      <c r="G28" s="55">
        <f>SUM(G7:G27)</f>
        <v>4886254</v>
      </c>
      <c r="H28" s="54">
        <f>SUM(H7:H27)</f>
        <v>13355477</v>
      </c>
      <c r="I28" s="771"/>
      <c r="K28" s="1605"/>
      <c r="L28" s="1605"/>
      <c r="M28" s="1605"/>
      <c r="N28" s="1605"/>
    </row>
    <row r="29" spans="1:14">
      <c r="G29" s="2"/>
      <c r="H29" s="2"/>
      <c r="K29" s="1605"/>
      <c r="L29" s="1605"/>
      <c r="M29" s="1605"/>
      <c r="N29" s="1605"/>
    </row>
    <row r="30" spans="1:14">
      <c r="E30" s="2"/>
      <c r="G30" s="2"/>
      <c r="H30" s="2"/>
      <c r="K30" s="1605"/>
      <c r="L30" s="1605"/>
      <c r="M30" s="1605"/>
      <c r="N30" s="1605"/>
    </row>
    <row r="31" spans="1:14">
      <c r="G31" s="2">
        <f>SUM(G28:H28)</f>
        <v>18241731</v>
      </c>
      <c r="K31" s="1605"/>
      <c r="L31" s="1605"/>
      <c r="M31" s="1605"/>
      <c r="N31" s="1605"/>
    </row>
    <row r="32" spans="1:14">
      <c r="G32" s="2"/>
      <c r="H32" s="2">
        <f>SUM(G16:G27)</f>
        <v>2216254</v>
      </c>
      <c r="K32" s="1605"/>
      <c r="L32" s="1605"/>
      <c r="M32" s="1605"/>
      <c r="N32" s="1605"/>
    </row>
    <row r="33" spans="7:14">
      <c r="K33" s="1605"/>
      <c r="L33" s="1605"/>
      <c r="M33" s="1605"/>
      <c r="N33" s="1605"/>
    </row>
    <row r="34" spans="7:14">
      <c r="G34" s="2"/>
      <c r="H34" s="2"/>
      <c r="K34" s="1605"/>
      <c r="L34" s="1605"/>
      <c r="M34" s="1605"/>
      <c r="N34" s="1605"/>
    </row>
    <row r="35" spans="7:14">
      <c r="G35" s="2"/>
      <c r="H35" s="2"/>
      <c r="K35" s="1605"/>
      <c r="L35" s="1605"/>
      <c r="M35" s="1605"/>
      <c r="N35" s="1605"/>
    </row>
    <row r="36" spans="7:14" ht="82.5" customHeight="1">
      <c r="G36" s="2"/>
      <c r="H36" s="2"/>
      <c r="K36" s="1605"/>
      <c r="L36" s="1605"/>
      <c r="M36" s="1605"/>
      <c r="N36" s="1605"/>
    </row>
    <row r="37" spans="7:14">
      <c r="H37" s="2"/>
    </row>
  </sheetData>
  <mergeCells count="32">
    <mergeCell ref="K14:N36"/>
    <mergeCell ref="C16:C23"/>
    <mergeCell ref="D18:D19"/>
    <mergeCell ref="E18:E19"/>
    <mergeCell ref="A7:A10"/>
    <mergeCell ref="B7:B9"/>
    <mergeCell ref="C7:C10"/>
    <mergeCell ref="D7:D10"/>
    <mergeCell ref="E7:E10"/>
    <mergeCell ref="A28:D28"/>
    <mergeCell ref="C11:C13"/>
    <mergeCell ref="C14:C15"/>
    <mergeCell ref="D14:D15"/>
    <mergeCell ref="E14:E15"/>
    <mergeCell ref="A21:A22"/>
    <mergeCell ref="B21:B22"/>
    <mergeCell ref="E21:E27"/>
    <mergeCell ref="C24:C27"/>
    <mergeCell ref="D21:D23"/>
    <mergeCell ref="D24:D27"/>
    <mergeCell ref="A1:C1"/>
    <mergeCell ref="A2:I2"/>
    <mergeCell ref="A4:A6"/>
    <mergeCell ref="B4:B6"/>
    <mergeCell ref="C4:C6"/>
    <mergeCell ref="D4:D6"/>
    <mergeCell ref="E4:E6"/>
    <mergeCell ref="F4:F6"/>
    <mergeCell ref="G4:H4"/>
    <mergeCell ref="I4:I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Strona &amp;P z &amp;N</oddFooter>
  </headerFooter>
  <rowBreaks count="1" manualBreakCount="1">
    <brk id="15" max="8" man="1"/>
  </rowBreaks>
  <colBreaks count="1" manualBreakCount="1">
    <brk id="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G145"/>
  <sheetViews>
    <sheetView view="pageBreakPreview" zoomScaleSheetLayoutView="100" workbookViewId="0">
      <selection activeCell="J4" sqref="J4"/>
    </sheetView>
  </sheetViews>
  <sheetFormatPr defaultRowHeight="12.75"/>
  <cols>
    <col min="1" max="1" width="6.42578125" style="1" customWidth="1"/>
    <col min="2" max="2" width="7.7109375" style="1" customWidth="1"/>
    <col min="3" max="4" width="12.7109375" style="1" customWidth="1"/>
    <col min="5" max="6" width="17.7109375" style="1" customWidth="1"/>
    <col min="7" max="7" width="82.28515625" style="1" customWidth="1"/>
    <col min="8" max="258" width="9.140625" style="1"/>
    <col min="259" max="259" width="7.140625" style="1" customWidth="1"/>
    <col min="260" max="260" width="10.42578125" style="1" customWidth="1"/>
    <col min="261" max="261" width="12.85546875" style="1" customWidth="1"/>
    <col min="262" max="262" width="13.140625" style="1" customWidth="1"/>
    <col min="263" max="263" width="61" style="1" customWidth="1"/>
    <col min="264" max="514" width="9.140625" style="1"/>
    <col min="515" max="515" width="7.140625" style="1" customWidth="1"/>
    <col min="516" max="516" width="10.42578125" style="1" customWidth="1"/>
    <col min="517" max="517" width="12.85546875" style="1" customWidth="1"/>
    <col min="518" max="518" width="13.140625" style="1" customWidth="1"/>
    <col min="519" max="519" width="61" style="1" customWidth="1"/>
    <col min="520" max="770" width="9.140625" style="1"/>
    <col min="771" max="771" width="7.140625" style="1" customWidth="1"/>
    <col min="772" max="772" width="10.42578125" style="1" customWidth="1"/>
    <col min="773" max="773" width="12.85546875" style="1" customWidth="1"/>
    <col min="774" max="774" width="13.140625" style="1" customWidth="1"/>
    <col min="775" max="775" width="61" style="1" customWidth="1"/>
    <col min="776" max="1026" width="9.140625" style="1"/>
    <col min="1027" max="1027" width="7.140625" style="1" customWidth="1"/>
    <col min="1028" max="1028" width="10.42578125" style="1" customWidth="1"/>
    <col min="1029" max="1029" width="12.85546875" style="1" customWidth="1"/>
    <col min="1030" max="1030" width="13.140625" style="1" customWidth="1"/>
    <col min="1031" max="1031" width="61" style="1" customWidth="1"/>
    <col min="1032" max="1282" width="9.140625" style="1"/>
    <col min="1283" max="1283" width="7.140625" style="1" customWidth="1"/>
    <col min="1284" max="1284" width="10.42578125" style="1" customWidth="1"/>
    <col min="1285" max="1285" width="12.85546875" style="1" customWidth="1"/>
    <col min="1286" max="1286" width="13.140625" style="1" customWidth="1"/>
    <col min="1287" max="1287" width="61" style="1" customWidth="1"/>
    <col min="1288" max="1538" width="9.140625" style="1"/>
    <col min="1539" max="1539" width="7.140625" style="1" customWidth="1"/>
    <col min="1540" max="1540" width="10.42578125" style="1" customWidth="1"/>
    <col min="1541" max="1541" width="12.85546875" style="1" customWidth="1"/>
    <col min="1542" max="1542" width="13.140625" style="1" customWidth="1"/>
    <col min="1543" max="1543" width="61" style="1" customWidth="1"/>
    <col min="1544" max="1794" width="9.140625" style="1"/>
    <col min="1795" max="1795" width="7.140625" style="1" customWidth="1"/>
    <col min="1796" max="1796" width="10.42578125" style="1" customWidth="1"/>
    <col min="1797" max="1797" width="12.85546875" style="1" customWidth="1"/>
    <col min="1798" max="1798" width="13.140625" style="1" customWidth="1"/>
    <col min="1799" max="1799" width="61" style="1" customWidth="1"/>
    <col min="1800" max="2050" width="9.140625" style="1"/>
    <col min="2051" max="2051" width="7.140625" style="1" customWidth="1"/>
    <col min="2052" max="2052" width="10.42578125" style="1" customWidth="1"/>
    <col min="2053" max="2053" width="12.85546875" style="1" customWidth="1"/>
    <col min="2054" max="2054" width="13.140625" style="1" customWidth="1"/>
    <col min="2055" max="2055" width="61" style="1" customWidth="1"/>
    <col min="2056" max="2306" width="9.140625" style="1"/>
    <col min="2307" max="2307" width="7.140625" style="1" customWidth="1"/>
    <col min="2308" max="2308" width="10.42578125" style="1" customWidth="1"/>
    <col min="2309" max="2309" width="12.85546875" style="1" customWidth="1"/>
    <col min="2310" max="2310" width="13.140625" style="1" customWidth="1"/>
    <col min="2311" max="2311" width="61" style="1" customWidth="1"/>
    <col min="2312" max="2562" width="9.140625" style="1"/>
    <col min="2563" max="2563" width="7.140625" style="1" customWidth="1"/>
    <col min="2564" max="2564" width="10.42578125" style="1" customWidth="1"/>
    <col min="2565" max="2565" width="12.85546875" style="1" customWidth="1"/>
    <col min="2566" max="2566" width="13.140625" style="1" customWidth="1"/>
    <col min="2567" max="2567" width="61" style="1" customWidth="1"/>
    <col min="2568" max="2818" width="9.140625" style="1"/>
    <col min="2819" max="2819" width="7.140625" style="1" customWidth="1"/>
    <col min="2820" max="2820" width="10.42578125" style="1" customWidth="1"/>
    <col min="2821" max="2821" width="12.85546875" style="1" customWidth="1"/>
    <col min="2822" max="2822" width="13.140625" style="1" customWidth="1"/>
    <col min="2823" max="2823" width="61" style="1" customWidth="1"/>
    <col min="2824" max="3074" width="9.140625" style="1"/>
    <col min="3075" max="3075" width="7.140625" style="1" customWidth="1"/>
    <col min="3076" max="3076" width="10.42578125" style="1" customWidth="1"/>
    <col min="3077" max="3077" width="12.85546875" style="1" customWidth="1"/>
    <col min="3078" max="3078" width="13.140625" style="1" customWidth="1"/>
    <col min="3079" max="3079" width="61" style="1" customWidth="1"/>
    <col min="3080" max="3330" width="9.140625" style="1"/>
    <col min="3331" max="3331" width="7.140625" style="1" customWidth="1"/>
    <col min="3332" max="3332" width="10.42578125" style="1" customWidth="1"/>
    <col min="3333" max="3333" width="12.85546875" style="1" customWidth="1"/>
    <col min="3334" max="3334" width="13.140625" style="1" customWidth="1"/>
    <col min="3335" max="3335" width="61" style="1" customWidth="1"/>
    <col min="3336" max="3586" width="9.140625" style="1"/>
    <col min="3587" max="3587" width="7.140625" style="1" customWidth="1"/>
    <col min="3588" max="3588" width="10.42578125" style="1" customWidth="1"/>
    <col min="3589" max="3589" width="12.85546875" style="1" customWidth="1"/>
    <col min="3590" max="3590" width="13.140625" style="1" customWidth="1"/>
    <col min="3591" max="3591" width="61" style="1" customWidth="1"/>
    <col min="3592" max="3842" width="9.140625" style="1"/>
    <col min="3843" max="3843" width="7.140625" style="1" customWidth="1"/>
    <col min="3844" max="3844" width="10.42578125" style="1" customWidth="1"/>
    <col min="3845" max="3845" width="12.85546875" style="1" customWidth="1"/>
    <col min="3846" max="3846" width="13.140625" style="1" customWidth="1"/>
    <col min="3847" max="3847" width="61" style="1" customWidth="1"/>
    <col min="3848" max="4098" width="9.140625" style="1"/>
    <col min="4099" max="4099" width="7.140625" style="1" customWidth="1"/>
    <col min="4100" max="4100" width="10.42578125" style="1" customWidth="1"/>
    <col min="4101" max="4101" width="12.85546875" style="1" customWidth="1"/>
    <col min="4102" max="4102" width="13.140625" style="1" customWidth="1"/>
    <col min="4103" max="4103" width="61" style="1" customWidth="1"/>
    <col min="4104" max="4354" width="9.140625" style="1"/>
    <col min="4355" max="4355" width="7.140625" style="1" customWidth="1"/>
    <col min="4356" max="4356" width="10.42578125" style="1" customWidth="1"/>
    <col min="4357" max="4357" width="12.85546875" style="1" customWidth="1"/>
    <col min="4358" max="4358" width="13.140625" style="1" customWidth="1"/>
    <col min="4359" max="4359" width="61" style="1" customWidth="1"/>
    <col min="4360" max="4610" width="9.140625" style="1"/>
    <col min="4611" max="4611" width="7.140625" style="1" customWidth="1"/>
    <col min="4612" max="4612" width="10.42578125" style="1" customWidth="1"/>
    <col min="4613" max="4613" width="12.85546875" style="1" customWidth="1"/>
    <col min="4614" max="4614" width="13.140625" style="1" customWidth="1"/>
    <col min="4615" max="4615" width="61" style="1" customWidth="1"/>
    <col min="4616" max="4866" width="9.140625" style="1"/>
    <col min="4867" max="4867" width="7.140625" style="1" customWidth="1"/>
    <col min="4868" max="4868" width="10.42578125" style="1" customWidth="1"/>
    <col min="4869" max="4869" width="12.85546875" style="1" customWidth="1"/>
    <col min="4870" max="4870" width="13.140625" style="1" customWidth="1"/>
    <col min="4871" max="4871" width="61" style="1" customWidth="1"/>
    <col min="4872" max="5122" width="9.140625" style="1"/>
    <col min="5123" max="5123" width="7.140625" style="1" customWidth="1"/>
    <col min="5124" max="5124" width="10.42578125" style="1" customWidth="1"/>
    <col min="5125" max="5125" width="12.85546875" style="1" customWidth="1"/>
    <col min="5126" max="5126" width="13.140625" style="1" customWidth="1"/>
    <col min="5127" max="5127" width="61" style="1" customWidth="1"/>
    <col min="5128" max="5378" width="9.140625" style="1"/>
    <col min="5379" max="5379" width="7.140625" style="1" customWidth="1"/>
    <col min="5380" max="5380" width="10.42578125" style="1" customWidth="1"/>
    <col min="5381" max="5381" width="12.85546875" style="1" customWidth="1"/>
    <col min="5382" max="5382" width="13.140625" style="1" customWidth="1"/>
    <col min="5383" max="5383" width="61" style="1" customWidth="1"/>
    <col min="5384" max="5634" width="9.140625" style="1"/>
    <col min="5635" max="5635" width="7.140625" style="1" customWidth="1"/>
    <col min="5636" max="5636" width="10.42578125" style="1" customWidth="1"/>
    <col min="5637" max="5637" width="12.85546875" style="1" customWidth="1"/>
    <col min="5638" max="5638" width="13.140625" style="1" customWidth="1"/>
    <col min="5639" max="5639" width="61" style="1" customWidth="1"/>
    <col min="5640" max="5890" width="9.140625" style="1"/>
    <col min="5891" max="5891" width="7.140625" style="1" customWidth="1"/>
    <col min="5892" max="5892" width="10.42578125" style="1" customWidth="1"/>
    <col min="5893" max="5893" width="12.85546875" style="1" customWidth="1"/>
    <col min="5894" max="5894" width="13.140625" style="1" customWidth="1"/>
    <col min="5895" max="5895" width="61" style="1" customWidth="1"/>
    <col min="5896" max="6146" width="9.140625" style="1"/>
    <col min="6147" max="6147" width="7.140625" style="1" customWidth="1"/>
    <col min="6148" max="6148" width="10.42578125" style="1" customWidth="1"/>
    <col min="6149" max="6149" width="12.85546875" style="1" customWidth="1"/>
    <col min="6150" max="6150" width="13.140625" style="1" customWidth="1"/>
    <col min="6151" max="6151" width="61" style="1" customWidth="1"/>
    <col min="6152" max="6402" width="9.140625" style="1"/>
    <col min="6403" max="6403" width="7.140625" style="1" customWidth="1"/>
    <col min="6404" max="6404" width="10.42578125" style="1" customWidth="1"/>
    <col min="6405" max="6405" width="12.85546875" style="1" customWidth="1"/>
    <col min="6406" max="6406" width="13.140625" style="1" customWidth="1"/>
    <col min="6407" max="6407" width="61" style="1" customWidth="1"/>
    <col min="6408" max="6658" width="9.140625" style="1"/>
    <col min="6659" max="6659" width="7.140625" style="1" customWidth="1"/>
    <col min="6660" max="6660" width="10.42578125" style="1" customWidth="1"/>
    <col min="6661" max="6661" width="12.85546875" style="1" customWidth="1"/>
    <col min="6662" max="6662" width="13.140625" style="1" customWidth="1"/>
    <col min="6663" max="6663" width="61" style="1" customWidth="1"/>
    <col min="6664" max="6914" width="9.140625" style="1"/>
    <col min="6915" max="6915" width="7.140625" style="1" customWidth="1"/>
    <col min="6916" max="6916" width="10.42578125" style="1" customWidth="1"/>
    <col min="6917" max="6917" width="12.85546875" style="1" customWidth="1"/>
    <col min="6918" max="6918" width="13.140625" style="1" customWidth="1"/>
    <col min="6919" max="6919" width="61" style="1" customWidth="1"/>
    <col min="6920" max="7170" width="9.140625" style="1"/>
    <col min="7171" max="7171" width="7.140625" style="1" customWidth="1"/>
    <col min="7172" max="7172" width="10.42578125" style="1" customWidth="1"/>
    <col min="7173" max="7173" width="12.85546875" style="1" customWidth="1"/>
    <col min="7174" max="7174" width="13.140625" style="1" customWidth="1"/>
    <col min="7175" max="7175" width="61" style="1" customWidth="1"/>
    <col min="7176" max="7426" width="9.140625" style="1"/>
    <col min="7427" max="7427" width="7.140625" style="1" customWidth="1"/>
    <col min="7428" max="7428" width="10.42578125" style="1" customWidth="1"/>
    <col min="7429" max="7429" width="12.85546875" style="1" customWidth="1"/>
    <col min="7430" max="7430" width="13.140625" style="1" customWidth="1"/>
    <col min="7431" max="7431" width="61" style="1" customWidth="1"/>
    <col min="7432" max="7682" width="9.140625" style="1"/>
    <col min="7683" max="7683" width="7.140625" style="1" customWidth="1"/>
    <col min="7684" max="7684" width="10.42578125" style="1" customWidth="1"/>
    <col min="7685" max="7685" width="12.85546875" style="1" customWidth="1"/>
    <col min="7686" max="7686" width="13.140625" style="1" customWidth="1"/>
    <col min="7687" max="7687" width="61" style="1" customWidth="1"/>
    <col min="7688" max="7938" width="9.140625" style="1"/>
    <col min="7939" max="7939" width="7.140625" style="1" customWidth="1"/>
    <col min="7940" max="7940" width="10.42578125" style="1" customWidth="1"/>
    <col min="7941" max="7941" width="12.85546875" style="1" customWidth="1"/>
    <col min="7942" max="7942" width="13.140625" style="1" customWidth="1"/>
    <col min="7943" max="7943" width="61" style="1" customWidth="1"/>
    <col min="7944" max="8194" width="9.140625" style="1"/>
    <col min="8195" max="8195" width="7.140625" style="1" customWidth="1"/>
    <col min="8196" max="8196" width="10.42578125" style="1" customWidth="1"/>
    <col min="8197" max="8197" width="12.85546875" style="1" customWidth="1"/>
    <col min="8198" max="8198" width="13.140625" style="1" customWidth="1"/>
    <col min="8199" max="8199" width="61" style="1" customWidth="1"/>
    <col min="8200" max="8450" width="9.140625" style="1"/>
    <col min="8451" max="8451" width="7.140625" style="1" customWidth="1"/>
    <col min="8452" max="8452" width="10.42578125" style="1" customWidth="1"/>
    <col min="8453" max="8453" width="12.85546875" style="1" customWidth="1"/>
    <col min="8454" max="8454" width="13.140625" style="1" customWidth="1"/>
    <col min="8455" max="8455" width="61" style="1" customWidth="1"/>
    <col min="8456" max="8706" width="9.140625" style="1"/>
    <col min="8707" max="8707" width="7.140625" style="1" customWidth="1"/>
    <col min="8708" max="8708" width="10.42578125" style="1" customWidth="1"/>
    <col min="8709" max="8709" width="12.85546875" style="1" customWidth="1"/>
    <col min="8710" max="8710" width="13.140625" style="1" customWidth="1"/>
    <col min="8711" max="8711" width="61" style="1" customWidth="1"/>
    <col min="8712" max="8962" width="9.140625" style="1"/>
    <col min="8963" max="8963" width="7.140625" style="1" customWidth="1"/>
    <col min="8964" max="8964" width="10.42578125" style="1" customWidth="1"/>
    <col min="8965" max="8965" width="12.85546875" style="1" customWidth="1"/>
    <col min="8966" max="8966" width="13.140625" style="1" customWidth="1"/>
    <col min="8967" max="8967" width="61" style="1" customWidth="1"/>
    <col min="8968" max="9218" width="9.140625" style="1"/>
    <col min="9219" max="9219" width="7.140625" style="1" customWidth="1"/>
    <col min="9220" max="9220" width="10.42578125" style="1" customWidth="1"/>
    <col min="9221" max="9221" width="12.85546875" style="1" customWidth="1"/>
    <col min="9222" max="9222" width="13.140625" style="1" customWidth="1"/>
    <col min="9223" max="9223" width="61" style="1" customWidth="1"/>
    <col min="9224" max="9474" width="9.140625" style="1"/>
    <col min="9475" max="9475" width="7.140625" style="1" customWidth="1"/>
    <col min="9476" max="9476" width="10.42578125" style="1" customWidth="1"/>
    <col min="9477" max="9477" width="12.85546875" style="1" customWidth="1"/>
    <col min="9478" max="9478" width="13.140625" style="1" customWidth="1"/>
    <col min="9479" max="9479" width="61" style="1" customWidth="1"/>
    <col min="9480" max="9730" width="9.140625" style="1"/>
    <col min="9731" max="9731" width="7.140625" style="1" customWidth="1"/>
    <col min="9732" max="9732" width="10.42578125" style="1" customWidth="1"/>
    <col min="9733" max="9733" width="12.85546875" style="1" customWidth="1"/>
    <col min="9734" max="9734" width="13.140625" style="1" customWidth="1"/>
    <col min="9735" max="9735" width="61" style="1" customWidth="1"/>
    <col min="9736" max="9986" width="9.140625" style="1"/>
    <col min="9987" max="9987" width="7.140625" style="1" customWidth="1"/>
    <col min="9988" max="9988" width="10.42578125" style="1" customWidth="1"/>
    <col min="9989" max="9989" width="12.85546875" style="1" customWidth="1"/>
    <col min="9990" max="9990" width="13.140625" style="1" customWidth="1"/>
    <col min="9991" max="9991" width="61" style="1" customWidth="1"/>
    <col min="9992" max="10242" width="9.140625" style="1"/>
    <col min="10243" max="10243" width="7.140625" style="1" customWidth="1"/>
    <col min="10244" max="10244" width="10.42578125" style="1" customWidth="1"/>
    <col min="10245" max="10245" width="12.85546875" style="1" customWidth="1"/>
    <col min="10246" max="10246" width="13.140625" style="1" customWidth="1"/>
    <col min="10247" max="10247" width="61" style="1" customWidth="1"/>
    <col min="10248" max="10498" width="9.140625" style="1"/>
    <col min="10499" max="10499" width="7.140625" style="1" customWidth="1"/>
    <col min="10500" max="10500" width="10.42578125" style="1" customWidth="1"/>
    <col min="10501" max="10501" width="12.85546875" style="1" customWidth="1"/>
    <col min="10502" max="10502" width="13.140625" style="1" customWidth="1"/>
    <col min="10503" max="10503" width="61" style="1" customWidth="1"/>
    <col min="10504" max="10754" width="9.140625" style="1"/>
    <col min="10755" max="10755" width="7.140625" style="1" customWidth="1"/>
    <col min="10756" max="10756" width="10.42578125" style="1" customWidth="1"/>
    <col min="10757" max="10757" width="12.85546875" style="1" customWidth="1"/>
    <col min="10758" max="10758" width="13.140625" style="1" customWidth="1"/>
    <col min="10759" max="10759" width="61" style="1" customWidth="1"/>
    <col min="10760" max="11010" width="9.140625" style="1"/>
    <col min="11011" max="11011" width="7.140625" style="1" customWidth="1"/>
    <col min="11012" max="11012" width="10.42578125" style="1" customWidth="1"/>
    <col min="11013" max="11013" width="12.85546875" style="1" customWidth="1"/>
    <col min="11014" max="11014" width="13.140625" style="1" customWidth="1"/>
    <col min="11015" max="11015" width="61" style="1" customWidth="1"/>
    <col min="11016" max="11266" width="9.140625" style="1"/>
    <col min="11267" max="11267" width="7.140625" style="1" customWidth="1"/>
    <col min="11268" max="11268" width="10.42578125" style="1" customWidth="1"/>
    <col min="11269" max="11269" width="12.85546875" style="1" customWidth="1"/>
    <col min="11270" max="11270" width="13.140625" style="1" customWidth="1"/>
    <col min="11271" max="11271" width="61" style="1" customWidth="1"/>
    <col min="11272" max="11522" width="9.140625" style="1"/>
    <col min="11523" max="11523" width="7.140625" style="1" customWidth="1"/>
    <col min="11524" max="11524" width="10.42578125" style="1" customWidth="1"/>
    <col min="11525" max="11525" width="12.85546875" style="1" customWidth="1"/>
    <col min="11526" max="11526" width="13.140625" style="1" customWidth="1"/>
    <col min="11527" max="11527" width="61" style="1" customWidth="1"/>
    <col min="11528" max="11778" width="9.140625" style="1"/>
    <col min="11779" max="11779" width="7.140625" style="1" customWidth="1"/>
    <col min="11780" max="11780" width="10.42578125" style="1" customWidth="1"/>
    <col min="11781" max="11781" width="12.85546875" style="1" customWidth="1"/>
    <col min="11782" max="11782" width="13.140625" style="1" customWidth="1"/>
    <col min="11783" max="11783" width="61" style="1" customWidth="1"/>
    <col min="11784" max="12034" width="9.140625" style="1"/>
    <col min="12035" max="12035" width="7.140625" style="1" customWidth="1"/>
    <col min="12036" max="12036" width="10.42578125" style="1" customWidth="1"/>
    <col min="12037" max="12037" width="12.85546875" style="1" customWidth="1"/>
    <col min="12038" max="12038" width="13.140625" style="1" customWidth="1"/>
    <col min="12039" max="12039" width="61" style="1" customWidth="1"/>
    <col min="12040" max="12290" width="9.140625" style="1"/>
    <col min="12291" max="12291" width="7.140625" style="1" customWidth="1"/>
    <col min="12292" max="12292" width="10.42578125" style="1" customWidth="1"/>
    <col min="12293" max="12293" width="12.85546875" style="1" customWidth="1"/>
    <col min="12294" max="12294" width="13.140625" style="1" customWidth="1"/>
    <col min="12295" max="12295" width="61" style="1" customWidth="1"/>
    <col min="12296" max="12546" width="9.140625" style="1"/>
    <col min="12547" max="12547" width="7.140625" style="1" customWidth="1"/>
    <col min="12548" max="12548" width="10.42578125" style="1" customWidth="1"/>
    <col min="12549" max="12549" width="12.85546875" style="1" customWidth="1"/>
    <col min="12550" max="12550" width="13.140625" style="1" customWidth="1"/>
    <col min="12551" max="12551" width="61" style="1" customWidth="1"/>
    <col min="12552" max="12802" width="9.140625" style="1"/>
    <col min="12803" max="12803" width="7.140625" style="1" customWidth="1"/>
    <col min="12804" max="12804" width="10.42578125" style="1" customWidth="1"/>
    <col min="12805" max="12805" width="12.85546875" style="1" customWidth="1"/>
    <col min="12806" max="12806" width="13.140625" style="1" customWidth="1"/>
    <col min="12807" max="12807" width="61" style="1" customWidth="1"/>
    <col min="12808" max="13058" width="9.140625" style="1"/>
    <col min="13059" max="13059" width="7.140625" style="1" customWidth="1"/>
    <col min="13060" max="13060" width="10.42578125" style="1" customWidth="1"/>
    <col min="13061" max="13061" width="12.85546875" style="1" customWidth="1"/>
    <col min="13062" max="13062" width="13.140625" style="1" customWidth="1"/>
    <col min="13063" max="13063" width="61" style="1" customWidth="1"/>
    <col min="13064" max="13314" width="9.140625" style="1"/>
    <col min="13315" max="13315" width="7.140625" style="1" customWidth="1"/>
    <col min="13316" max="13316" width="10.42578125" style="1" customWidth="1"/>
    <col min="13317" max="13317" width="12.85546875" style="1" customWidth="1"/>
    <col min="13318" max="13318" width="13.140625" style="1" customWidth="1"/>
    <col min="13319" max="13319" width="61" style="1" customWidth="1"/>
    <col min="13320" max="13570" width="9.140625" style="1"/>
    <col min="13571" max="13571" width="7.140625" style="1" customWidth="1"/>
    <col min="13572" max="13572" width="10.42578125" style="1" customWidth="1"/>
    <col min="13573" max="13573" width="12.85546875" style="1" customWidth="1"/>
    <col min="13574" max="13574" width="13.140625" style="1" customWidth="1"/>
    <col min="13575" max="13575" width="61" style="1" customWidth="1"/>
    <col min="13576" max="13826" width="9.140625" style="1"/>
    <col min="13827" max="13827" width="7.140625" style="1" customWidth="1"/>
    <col min="13828" max="13828" width="10.42578125" style="1" customWidth="1"/>
    <col min="13829" max="13829" width="12.85546875" style="1" customWidth="1"/>
    <col min="13830" max="13830" width="13.140625" style="1" customWidth="1"/>
    <col min="13831" max="13831" width="61" style="1" customWidth="1"/>
    <col min="13832" max="14082" width="9.140625" style="1"/>
    <col min="14083" max="14083" width="7.140625" style="1" customWidth="1"/>
    <col min="14084" max="14084" width="10.42578125" style="1" customWidth="1"/>
    <col min="14085" max="14085" width="12.85546875" style="1" customWidth="1"/>
    <col min="14086" max="14086" width="13.140625" style="1" customWidth="1"/>
    <col min="14087" max="14087" width="61" style="1" customWidth="1"/>
    <col min="14088" max="14338" width="9.140625" style="1"/>
    <col min="14339" max="14339" width="7.140625" style="1" customWidth="1"/>
    <col min="14340" max="14340" width="10.42578125" style="1" customWidth="1"/>
    <col min="14341" max="14341" width="12.85546875" style="1" customWidth="1"/>
    <col min="14342" max="14342" width="13.140625" style="1" customWidth="1"/>
    <col min="14343" max="14343" width="61" style="1" customWidth="1"/>
    <col min="14344" max="14594" width="9.140625" style="1"/>
    <col min="14595" max="14595" width="7.140625" style="1" customWidth="1"/>
    <col min="14596" max="14596" width="10.42578125" style="1" customWidth="1"/>
    <col min="14597" max="14597" width="12.85546875" style="1" customWidth="1"/>
    <col min="14598" max="14598" width="13.140625" style="1" customWidth="1"/>
    <col min="14599" max="14599" width="61" style="1" customWidth="1"/>
    <col min="14600" max="14850" width="9.140625" style="1"/>
    <col min="14851" max="14851" width="7.140625" style="1" customWidth="1"/>
    <col min="14852" max="14852" width="10.42578125" style="1" customWidth="1"/>
    <col min="14853" max="14853" width="12.85546875" style="1" customWidth="1"/>
    <col min="14854" max="14854" width="13.140625" style="1" customWidth="1"/>
    <col min="14855" max="14855" width="61" style="1" customWidth="1"/>
    <col min="14856" max="15106" width="9.140625" style="1"/>
    <col min="15107" max="15107" width="7.140625" style="1" customWidth="1"/>
    <col min="15108" max="15108" width="10.42578125" style="1" customWidth="1"/>
    <col min="15109" max="15109" width="12.85546875" style="1" customWidth="1"/>
    <col min="15110" max="15110" width="13.140625" style="1" customWidth="1"/>
    <col min="15111" max="15111" width="61" style="1" customWidth="1"/>
    <col min="15112" max="15362" width="9.140625" style="1"/>
    <col min="15363" max="15363" width="7.140625" style="1" customWidth="1"/>
    <col min="15364" max="15364" width="10.42578125" style="1" customWidth="1"/>
    <col min="15365" max="15365" width="12.85546875" style="1" customWidth="1"/>
    <col min="15366" max="15366" width="13.140625" style="1" customWidth="1"/>
    <col min="15367" max="15367" width="61" style="1" customWidth="1"/>
    <col min="15368" max="15618" width="9.140625" style="1"/>
    <col min="15619" max="15619" width="7.140625" style="1" customWidth="1"/>
    <col min="15620" max="15620" width="10.42578125" style="1" customWidth="1"/>
    <col min="15621" max="15621" width="12.85546875" style="1" customWidth="1"/>
    <col min="15622" max="15622" width="13.140625" style="1" customWidth="1"/>
    <col min="15623" max="15623" width="61" style="1" customWidth="1"/>
    <col min="15624" max="15874" width="9.140625" style="1"/>
    <col min="15875" max="15875" width="7.140625" style="1" customWidth="1"/>
    <col min="15876" max="15876" width="10.42578125" style="1" customWidth="1"/>
    <col min="15877" max="15877" width="12.85546875" style="1" customWidth="1"/>
    <col min="15878" max="15878" width="13.140625" style="1" customWidth="1"/>
    <col min="15879" max="15879" width="61" style="1" customWidth="1"/>
    <col min="15880" max="16130" width="9.140625" style="1"/>
    <col min="16131" max="16131" width="7.140625" style="1" customWidth="1"/>
    <col min="16132" max="16132" width="10.42578125" style="1" customWidth="1"/>
    <col min="16133" max="16133" width="12.85546875" style="1" customWidth="1"/>
    <col min="16134" max="16134" width="13.140625" style="1" customWidth="1"/>
    <col min="16135" max="16135" width="61" style="1" customWidth="1"/>
    <col min="16136" max="16384" width="9.140625" style="1"/>
  </cols>
  <sheetData>
    <row r="1" spans="1:7" ht="60" customHeight="1">
      <c r="B1" s="1630"/>
      <c r="C1" s="1630"/>
      <c r="D1" s="1630"/>
      <c r="E1" s="1631"/>
      <c r="G1" s="692" t="s">
        <v>1087</v>
      </c>
    </row>
    <row r="2" spans="1:7" ht="51.75" customHeight="1" thickBot="1">
      <c r="A2" s="1599" t="s">
        <v>943</v>
      </c>
      <c r="B2" s="1599"/>
      <c r="C2" s="1599"/>
      <c r="D2" s="1599"/>
      <c r="E2" s="1599"/>
      <c r="F2" s="1599"/>
      <c r="G2" s="1599"/>
    </row>
    <row r="3" spans="1:7" ht="36.75" customHeight="1" thickBot="1">
      <c r="A3" s="151" t="s">
        <v>18</v>
      </c>
      <c r="B3" s="151" t="s">
        <v>0</v>
      </c>
      <c r="C3" s="691" t="s">
        <v>1</v>
      </c>
      <c r="D3" s="59" t="s">
        <v>5</v>
      </c>
      <c r="E3" s="772" t="s">
        <v>65</v>
      </c>
      <c r="F3" s="773" t="s">
        <v>944</v>
      </c>
      <c r="G3" s="151" t="s">
        <v>914</v>
      </c>
    </row>
    <row r="4" spans="1:7" ht="25.5">
      <c r="A4" s="1632">
        <v>1</v>
      </c>
      <c r="B4" s="1634" t="s">
        <v>142</v>
      </c>
      <c r="C4" s="774" t="s">
        <v>207</v>
      </c>
      <c r="D4" s="775">
        <v>2830</v>
      </c>
      <c r="E4" s="776">
        <v>369000</v>
      </c>
      <c r="F4" s="714">
        <v>369000</v>
      </c>
      <c r="G4" s="777" t="s">
        <v>945</v>
      </c>
    </row>
    <row r="5" spans="1:7" ht="51.75" thickBot="1">
      <c r="A5" s="1633"/>
      <c r="B5" s="1635"/>
      <c r="C5" s="778" t="s">
        <v>254</v>
      </c>
      <c r="D5" s="779">
        <v>2360</v>
      </c>
      <c r="E5" s="780">
        <v>2651275</v>
      </c>
      <c r="F5" s="723">
        <v>1617975</v>
      </c>
      <c r="G5" s="781" t="s">
        <v>946</v>
      </c>
    </row>
    <row r="6" spans="1:7" ht="13.5" customHeight="1" thickBot="1">
      <c r="A6" s="782">
        <v>2</v>
      </c>
      <c r="B6" s="783" t="s">
        <v>7</v>
      </c>
      <c r="C6" s="783" t="s">
        <v>300</v>
      </c>
      <c r="D6" s="784">
        <v>2830</v>
      </c>
      <c r="E6" s="785">
        <v>47337600</v>
      </c>
      <c r="F6" s="786">
        <v>40000000</v>
      </c>
      <c r="G6" s="787" t="s">
        <v>947</v>
      </c>
    </row>
    <row r="7" spans="1:7" ht="13.5" customHeight="1" thickBot="1">
      <c r="A7" s="782">
        <v>3</v>
      </c>
      <c r="B7" s="783" t="s">
        <v>328</v>
      </c>
      <c r="C7" s="783" t="s">
        <v>330</v>
      </c>
      <c r="D7" s="784">
        <v>2360</v>
      </c>
      <c r="E7" s="785">
        <v>750000</v>
      </c>
      <c r="F7" s="786">
        <v>100000</v>
      </c>
      <c r="G7" s="787" t="s">
        <v>948</v>
      </c>
    </row>
    <row r="8" spans="1:7" ht="13.5" thickBot="1">
      <c r="A8" s="782">
        <v>4</v>
      </c>
      <c r="B8" s="788">
        <v>754</v>
      </c>
      <c r="C8" s="788">
        <v>75415</v>
      </c>
      <c r="D8" s="789">
        <v>2360</v>
      </c>
      <c r="E8" s="790">
        <v>185625</v>
      </c>
      <c r="F8" s="786">
        <v>185625</v>
      </c>
      <c r="G8" s="791" t="s">
        <v>949</v>
      </c>
    </row>
    <row r="9" spans="1:7" ht="25.5">
      <c r="A9" s="1632">
        <v>5</v>
      </c>
      <c r="B9" s="1636" t="s">
        <v>552</v>
      </c>
      <c r="C9" s="792" t="s">
        <v>575</v>
      </c>
      <c r="D9" s="793">
        <v>2360</v>
      </c>
      <c r="E9" s="794">
        <v>63585</v>
      </c>
      <c r="F9" s="795">
        <v>63585</v>
      </c>
      <c r="G9" s="796" t="s">
        <v>950</v>
      </c>
    </row>
    <row r="10" spans="1:7" ht="39" thickBot="1">
      <c r="A10" s="1633"/>
      <c r="B10" s="1637"/>
      <c r="C10" s="797" t="s">
        <v>577</v>
      </c>
      <c r="D10" s="798">
        <v>2360</v>
      </c>
      <c r="E10" s="799">
        <v>476991</v>
      </c>
      <c r="F10" s="769">
        <v>404091</v>
      </c>
      <c r="G10" s="800" t="s">
        <v>951</v>
      </c>
    </row>
    <row r="11" spans="1:7" ht="25.5">
      <c r="A11" s="1632">
        <v>6</v>
      </c>
      <c r="B11" s="1636" t="s">
        <v>584</v>
      </c>
      <c r="C11" s="792" t="s">
        <v>586</v>
      </c>
      <c r="D11" s="793">
        <v>2360</v>
      </c>
      <c r="E11" s="794">
        <v>200000</v>
      </c>
      <c r="F11" s="795">
        <v>200000</v>
      </c>
      <c r="G11" s="801" t="s">
        <v>952</v>
      </c>
    </row>
    <row r="12" spans="1:7" ht="25.5">
      <c r="A12" s="1641"/>
      <c r="B12" s="1642"/>
      <c r="C12" s="802" t="s">
        <v>589</v>
      </c>
      <c r="D12" s="803">
        <v>2360</v>
      </c>
      <c r="E12" s="804">
        <v>90000</v>
      </c>
      <c r="F12" s="805">
        <v>90000</v>
      </c>
      <c r="G12" s="806" t="s">
        <v>953</v>
      </c>
    </row>
    <row r="13" spans="1:7" ht="28.5" customHeight="1" thickBot="1">
      <c r="A13" s="1633"/>
      <c r="B13" s="1637"/>
      <c r="C13" s="797" t="s">
        <v>595</v>
      </c>
      <c r="D13" s="798">
        <v>2360</v>
      </c>
      <c r="E13" s="799">
        <v>2572966</v>
      </c>
      <c r="F13" s="769">
        <v>550000</v>
      </c>
      <c r="G13" s="800" t="s">
        <v>954</v>
      </c>
    </row>
    <row r="14" spans="1:7" ht="45" customHeight="1" thickBot="1">
      <c r="A14" s="782">
        <v>7</v>
      </c>
      <c r="B14" s="807" t="s">
        <v>620</v>
      </c>
      <c r="C14" s="807" t="s">
        <v>622</v>
      </c>
      <c r="D14" s="808">
        <v>2360</v>
      </c>
      <c r="E14" s="809">
        <v>1717320</v>
      </c>
      <c r="F14" s="810">
        <v>777925</v>
      </c>
      <c r="G14" s="811" t="s">
        <v>955</v>
      </c>
    </row>
    <row r="15" spans="1:7" ht="18" customHeight="1" thickBot="1">
      <c r="A15" s="782">
        <v>8</v>
      </c>
      <c r="B15" s="807" t="s">
        <v>13</v>
      </c>
      <c r="C15" s="807" t="s">
        <v>692</v>
      </c>
      <c r="D15" s="808">
        <v>2360</v>
      </c>
      <c r="E15" s="809">
        <v>690000</v>
      </c>
      <c r="F15" s="810">
        <v>550000</v>
      </c>
      <c r="G15" s="812" t="s">
        <v>956</v>
      </c>
    </row>
    <row r="16" spans="1:7" ht="34.5" customHeight="1" thickBot="1">
      <c r="A16" s="782">
        <v>9</v>
      </c>
      <c r="B16" s="807" t="s">
        <v>13</v>
      </c>
      <c r="C16" s="807" t="s">
        <v>709</v>
      </c>
      <c r="D16" s="808">
        <v>2720</v>
      </c>
      <c r="E16" s="809">
        <v>1000000</v>
      </c>
      <c r="F16" s="810">
        <v>1000000</v>
      </c>
      <c r="G16" s="812" t="s">
        <v>957</v>
      </c>
    </row>
    <row r="17" spans="1:7" ht="13.5" customHeight="1">
      <c r="A17" s="1632">
        <v>10</v>
      </c>
      <c r="B17" s="1636" t="s">
        <v>721</v>
      </c>
      <c r="C17" s="1636" t="s">
        <v>723</v>
      </c>
      <c r="D17" s="813">
        <v>2360</v>
      </c>
      <c r="E17" s="1643">
        <v>2700322</v>
      </c>
      <c r="F17" s="795">
        <v>310000</v>
      </c>
      <c r="G17" s="1638" t="s">
        <v>958</v>
      </c>
    </row>
    <row r="18" spans="1:7" ht="16.5" customHeight="1" thickBot="1">
      <c r="A18" s="1633"/>
      <c r="B18" s="1637"/>
      <c r="C18" s="1637"/>
      <c r="D18" s="768">
        <v>2820</v>
      </c>
      <c r="E18" s="1644"/>
      <c r="F18" s="769">
        <v>1893972</v>
      </c>
      <c r="G18" s="1639"/>
    </row>
    <row r="19" spans="1:7" s="814" customFormat="1" ht="30" customHeight="1" thickBot="1">
      <c r="A19" s="1640" t="s">
        <v>64</v>
      </c>
      <c r="B19" s="1640"/>
      <c r="C19" s="1640"/>
      <c r="D19" s="693"/>
      <c r="E19" s="56">
        <f>SUM(E4:E18)</f>
        <v>60804684</v>
      </c>
      <c r="F19" s="56">
        <f>SUM(F4:F18)</f>
        <v>48112173</v>
      </c>
      <c r="G19" s="57"/>
    </row>
    <row r="20" spans="1:7">
      <c r="B20" s="276"/>
      <c r="C20" s="276"/>
      <c r="D20" s="276"/>
      <c r="E20" s="277"/>
      <c r="F20" s="277"/>
      <c r="G20" s="815"/>
    </row>
    <row r="21" spans="1:7">
      <c r="B21" s="276"/>
      <c r="C21" s="276"/>
      <c r="D21" s="276"/>
      <c r="E21" s="277"/>
      <c r="F21" s="277">
        <f>F19+'[1]Załącznik Nr 2'!G28</f>
        <v>52998427</v>
      </c>
      <c r="G21" s="815"/>
    </row>
    <row r="22" spans="1:7">
      <c r="B22" s="276"/>
      <c r="C22" s="276"/>
      <c r="D22" s="276"/>
      <c r="E22" s="277" t="s">
        <v>959</v>
      </c>
      <c r="F22" s="277">
        <v>28207794</v>
      </c>
      <c r="G22" s="815"/>
    </row>
    <row r="23" spans="1:7">
      <c r="B23" s="276"/>
      <c r="C23" s="276"/>
      <c r="D23" s="276"/>
      <c r="E23" s="277"/>
      <c r="F23" s="277">
        <f>104675885+20000</f>
        <v>104695885</v>
      </c>
      <c r="G23" s="815"/>
    </row>
    <row r="24" spans="1:7">
      <c r="B24" s="276"/>
      <c r="C24" s="276"/>
      <c r="D24" s="276"/>
      <c r="E24" s="277"/>
      <c r="F24" s="277">
        <f>SUM(F21:F23)</f>
        <v>185902106</v>
      </c>
      <c r="G24" s="815"/>
    </row>
    <row r="25" spans="1:7">
      <c r="B25" s="276"/>
      <c r="C25" s="276"/>
      <c r="D25" s="276"/>
      <c r="E25" s="277"/>
      <c r="F25" s="277"/>
      <c r="G25" s="815"/>
    </row>
    <row r="26" spans="1:7">
      <c r="B26" s="276"/>
      <c r="C26" s="276"/>
      <c r="D26" s="276"/>
      <c r="E26" s="277"/>
      <c r="F26" s="277"/>
      <c r="G26" s="815"/>
    </row>
    <row r="27" spans="1:7">
      <c r="B27" s="276"/>
      <c r="C27" s="276"/>
      <c r="D27" s="276"/>
      <c r="E27" s="277"/>
      <c r="G27" s="815">
        <f>5294301+3572000+455296</f>
        <v>9321597</v>
      </c>
    </row>
    <row r="28" spans="1:7">
      <c r="B28" s="276"/>
      <c r="C28" s="276"/>
      <c r="D28" s="276"/>
      <c r="E28" s="277"/>
      <c r="F28" s="277">
        <v>185902414</v>
      </c>
      <c r="G28" s="815">
        <f>5294301+3572000+455296+11070768+7815429</f>
        <v>28207794</v>
      </c>
    </row>
    <row r="29" spans="1:7">
      <c r="B29" s="276"/>
      <c r="C29" s="276"/>
      <c r="D29" s="276"/>
      <c r="E29" s="277"/>
      <c r="F29" s="277"/>
      <c r="G29" s="815">
        <v>308</v>
      </c>
    </row>
    <row r="30" spans="1:7">
      <c r="B30" s="276"/>
      <c r="C30" s="276"/>
      <c r="D30" s="276"/>
      <c r="E30" s="277"/>
      <c r="F30" s="277">
        <f>F28-F24</f>
        <v>308</v>
      </c>
      <c r="G30" s="815"/>
    </row>
    <row r="31" spans="1:7">
      <c r="B31" s="276"/>
      <c r="C31" s="276"/>
      <c r="D31" s="276"/>
      <c r="E31" s="277"/>
      <c r="F31" s="277"/>
      <c r="G31" s="815"/>
    </row>
    <row r="32" spans="1:7">
      <c r="B32" s="276"/>
      <c r="C32" s="276"/>
      <c r="D32" s="276"/>
      <c r="E32" s="277"/>
      <c r="F32" s="277"/>
      <c r="G32" s="815"/>
    </row>
    <row r="33" spans="2:7">
      <c r="B33" s="276"/>
      <c r="C33" s="276"/>
      <c r="D33" s="276"/>
      <c r="E33" s="277"/>
      <c r="F33" s="277"/>
      <c r="G33" s="815"/>
    </row>
    <row r="34" spans="2:7">
      <c r="B34" s="276"/>
      <c r="C34" s="816"/>
      <c r="D34" s="816"/>
      <c r="E34" s="817"/>
      <c r="F34" s="817"/>
    </row>
    <row r="35" spans="2:7">
      <c r="B35" s="276"/>
      <c r="C35" s="816"/>
      <c r="D35" s="816"/>
      <c r="E35" s="817"/>
      <c r="F35" s="817"/>
    </row>
    <row r="36" spans="2:7">
      <c r="B36" s="276"/>
      <c r="C36" s="816"/>
      <c r="D36" s="816"/>
      <c r="E36" s="817"/>
      <c r="F36" s="817"/>
    </row>
    <row r="37" spans="2:7">
      <c r="B37" s="276"/>
      <c r="C37" s="816"/>
      <c r="D37" s="816"/>
      <c r="E37" s="817"/>
      <c r="F37" s="817"/>
    </row>
    <row r="38" spans="2:7">
      <c r="B38" s="276"/>
      <c r="C38" s="816"/>
      <c r="D38" s="816"/>
      <c r="E38" s="817"/>
      <c r="F38" s="817"/>
    </row>
    <row r="39" spans="2:7">
      <c r="B39" s="276"/>
      <c r="C39" s="816"/>
      <c r="D39" s="816"/>
      <c r="E39" s="817"/>
      <c r="F39" s="817"/>
    </row>
    <row r="40" spans="2:7">
      <c r="B40" s="276"/>
      <c r="C40" s="816"/>
      <c r="D40" s="816"/>
      <c r="E40" s="817"/>
      <c r="F40" s="817"/>
    </row>
    <row r="41" spans="2:7">
      <c r="B41" s="276"/>
      <c r="C41" s="816"/>
      <c r="D41" s="816"/>
      <c r="E41" s="817"/>
      <c r="F41" s="817"/>
    </row>
    <row r="42" spans="2:7">
      <c r="B42" s="276"/>
      <c r="C42" s="816"/>
      <c r="D42" s="816"/>
      <c r="E42" s="817"/>
      <c r="F42" s="817"/>
    </row>
    <row r="43" spans="2:7">
      <c r="B43" s="276"/>
      <c r="C43" s="816"/>
      <c r="D43" s="816"/>
      <c r="E43" s="817"/>
      <c r="F43" s="817"/>
    </row>
    <row r="44" spans="2:7">
      <c r="B44" s="276"/>
      <c r="C44" s="816"/>
      <c r="D44" s="816"/>
      <c r="E44" s="817"/>
      <c r="F44" s="817"/>
    </row>
    <row r="45" spans="2:7">
      <c r="B45" s="276"/>
      <c r="C45" s="816"/>
      <c r="D45" s="816"/>
      <c r="E45" s="817"/>
      <c r="F45" s="817"/>
    </row>
    <row r="46" spans="2:7">
      <c r="B46" s="276"/>
      <c r="C46" s="816"/>
      <c r="D46" s="816"/>
      <c r="E46" s="817"/>
      <c r="F46" s="817"/>
    </row>
    <row r="47" spans="2:7">
      <c r="B47" s="276"/>
      <c r="C47" s="816"/>
      <c r="D47" s="816"/>
      <c r="E47" s="817"/>
      <c r="F47" s="817"/>
    </row>
    <row r="48" spans="2:7">
      <c r="B48" s="276"/>
      <c r="C48" s="816"/>
      <c r="D48" s="816"/>
      <c r="E48" s="817"/>
      <c r="F48" s="817"/>
    </row>
    <row r="49" spans="2:6">
      <c r="B49" s="276"/>
      <c r="C49" s="816"/>
      <c r="D49" s="816"/>
      <c r="E49" s="817"/>
      <c r="F49" s="817"/>
    </row>
    <row r="50" spans="2:6">
      <c r="B50" s="276"/>
      <c r="C50" s="816"/>
      <c r="D50" s="816"/>
      <c r="E50" s="817"/>
      <c r="F50" s="817"/>
    </row>
    <row r="51" spans="2:6">
      <c r="B51" s="276"/>
      <c r="C51" s="816"/>
      <c r="D51" s="816"/>
      <c r="E51" s="817"/>
      <c r="F51" s="817"/>
    </row>
    <row r="52" spans="2:6">
      <c r="B52" s="276"/>
      <c r="C52" s="816"/>
      <c r="D52" s="816"/>
      <c r="E52" s="817"/>
      <c r="F52" s="817"/>
    </row>
    <row r="53" spans="2:6">
      <c r="B53" s="276"/>
      <c r="C53" s="816"/>
      <c r="D53" s="816"/>
      <c r="E53" s="817"/>
      <c r="F53" s="817"/>
    </row>
    <row r="54" spans="2:6">
      <c r="B54" s="276"/>
      <c r="C54" s="816"/>
      <c r="D54" s="816"/>
      <c r="E54" s="817"/>
      <c r="F54" s="817"/>
    </row>
    <row r="55" spans="2:6">
      <c r="B55" s="276"/>
      <c r="C55" s="816"/>
      <c r="D55" s="816"/>
      <c r="E55" s="817"/>
      <c r="F55" s="817"/>
    </row>
    <row r="56" spans="2:6">
      <c r="B56" s="276"/>
      <c r="C56" s="816"/>
      <c r="D56" s="816"/>
      <c r="E56" s="817"/>
      <c r="F56" s="817"/>
    </row>
    <row r="57" spans="2:6">
      <c r="B57" s="276"/>
      <c r="C57" s="816"/>
      <c r="D57" s="816"/>
      <c r="E57" s="817"/>
      <c r="F57" s="817"/>
    </row>
    <row r="58" spans="2:6">
      <c r="B58" s="276"/>
      <c r="C58" s="816"/>
      <c r="D58" s="816"/>
      <c r="E58" s="817"/>
      <c r="F58" s="817"/>
    </row>
    <row r="59" spans="2:6">
      <c r="B59" s="276"/>
      <c r="C59" s="816"/>
      <c r="D59" s="816"/>
      <c r="E59" s="817"/>
      <c r="F59" s="817"/>
    </row>
    <row r="60" spans="2:6">
      <c r="B60" s="276"/>
      <c r="C60" s="816"/>
      <c r="D60" s="816"/>
      <c r="E60" s="817"/>
      <c r="F60" s="817"/>
    </row>
    <row r="61" spans="2:6">
      <c r="B61" s="276"/>
      <c r="C61" s="816"/>
      <c r="D61" s="816"/>
      <c r="E61" s="817"/>
      <c r="F61" s="817"/>
    </row>
    <row r="62" spans="2:6">
      <c r="B62" s="276"/>
      <c r="C62" s="816"/>
      <c r="D62" s="816"/>
      <c r="E62" s="817"/>
      <c r="F62" s="817"/>
    </row>
    <row r="63" spans="2:6">
      <c r="B63" s="276"/>
      <c r="C63" s="816"/>
      <c r="D63" s="816"/>
      <c r="E63" s="817"/>
      <c r="F63" s="817"/>
    </row>
    <row r="64" spans="2:6">
      <c r="B64" s="276"/>
      <c r="C64" s="816"/>
      <c r="D64" s="816"/>
      <c r="E64" s="817"/>
      <c r="F64" s="817"/>
    </row>
    <row r="65" spans="2:6">
      <c r="B65" s="276"/>
      <c r="C65" s="816"/>
      <c r="D65" s="816"/>
      <c r="E65" s="817"/>
      <c r="F65" s="817"/>
    </row>
    <row r="66" spans="2:6">
      <c r="B66" s="276"/>
      <c r="C66" s="816"/>
      <c r="D66" s="816"/>
      <c r="E66" s="818"/>
      <c r="F66" s="818"/>
    </row>
    <row r="67" spans="2:6">
      <c r="B67" s="276"/>
      <c r="C67" s="816"/>
      <c r="D67" s="816"/>
      <c r="E67" s="818"/>
      <c r="F67" s="818"/>
    </row>
    <row r="68" spans="2:6">
      <c r="B68" s="276"/>
      <c r="C68" s="816"/>
      <c r="D68" s="816"/>
      <c r="E68" s="818"/>
      <c r="F68" s="818"/>
    </row>
    <row r="69" spans="2:6">
      <c r="B69" s="276"/>
      <c r="C69" s="819"/>
      <c r="D69" s="819"/>
      <c r="E69" s="818"/>
      <c r="F69" s="818"/>
    </row>
    <row r="70" spans="2:6">
      <c r="B70" s="276"/>
      <c r="C70" s="819"/>
      <c r="D70" s="819"/>
      <c r="E70" s="818"/>
      <c r="F70" s="818"/>
    </row>
    <row r="71" spans="2:6">
      <c r="B71" s="276"/>
      <c r="C71" s="819"/>
      <c r="D71" s="819"/>
      <c r="E71" s="818"/>
      <c r="F71" s="818"/>
    </row>
    <row r="72" spans="2:6">
      <c r="B72" s="276"/>
      <c r="C72" s="819"/>
      <c r="D72" s="819"/>
      <c r="E72" s="818"/>
      <c r="F72" s="818"/>
    </row>
    <row r="73" spans="2:6">
      <c r="B73" s="276"/>
      <c r="C73" s="819"/>
      <c r="D73" s="819"/>
      <c r="E73" s="818"/>
      <c r="F73" s="818"/>
    </row>
    <row r="74" spans="2:6">
      <c r="B74" s="276"/>
      <c r="C74" s="819"/>
      <c r="D74" s="819"/>
      <c r="E74" s="818"/>
      <c r="F74" s="818"/>
    </row>
    <row r="75" spans="2:6">
      <c r="B75" s="276"/>
      <c r="C75" s="819"/>
      <c r="D75" s="819"/>
      <c r="E75" s="818"/>
      <c r="F75" s="818"/>
    </row>
    <row r="76" spans="2:6">
      <c r="B76" s="276"/>
      <c r="C76" s="819"/>
      <c r="D76" s="819"/>
      <c r="E76" s="818"/>
      <c r="F76" s="818"/>
    </row>
    <row r="77" spans="2:6">
      <c r="B77" s="276"/>
      <c r="C77" s="819"/>
      <c r="D77" s="819"/>
      <c r="E77" s="818"/>
      <c r="F77" s="818"/>
    </row>
    <row r="78" spans="2:6">
      <c r="B78" s="276"/>
      <c r="C78" s="819"/>
      <c r="D78" s="819"/>
      <c r="E78" s="818"/>
      <c r="F78" s="818"/>
    </row>
    <row r="79" spans="2:6">
      <c r="B79" s="276"/>
      <c r="C79" s="819"/>
      <c r="D79" s="819"/>
      <c r="E79" s="818"/>
      <c r="F79" s="818"/>
    </row>
    <row r="80" spans="2:6">
      <c r="B80" s="276"/>
      <c r="C80" s="819"/>
      <c r="D80" s="819"/>
      <c r="E80" s="818"/>
      <c r="F80" s="818"/>
    </row>
    <row r="81" spans="2:6">
      <c r="B81" s="276"/>
      <c r="C81" s="819"/>
      <c r="D81" s="819"/>
      <c r="E81" s="818"/>
      <c r="F81" s="818"/>
    </row>
    <row r="82" spans="2:6">
      <c r="B82" s="276"/>
      <c r="C82" s="819"/>
      <c r="D82" s="819"/>
      <c r="E82" s="818"/>
      <c r="F82" s="818"/>
    </row>
    <row r="83" spans="2:6">
      <c r="B83" s="276"/>
      <c r="C83" s="819"/>
      <c r="D83" s="819"/>
      <c r="E83" s="818"/>
      <c r="F83" s="818"/>
    </row>
    <row r="84" spans="2:6">
      <c r="B84" s="276"/>
      <c r="C84" s="819"/>
      <c r="D84" s="819"/>
      <c r="E84" s="818"/>
      <c r="F84" s="818"/>
    </row>
    <row r="85" spans="2:6">
      <c r="B85" s="276"/>
      <c r="C85" s="819"/>
      <c r="D85" s="819"/>
      <c r="E85" s="818"/>
      <c r="F85" s="818"/>
    </row>
    <row r="86" spans="2:6">
      <c r="B86" s="276"/>
      <c r="C86" s="819"/>
      <c r="D86" s="819"/>
      <c r="E86" s="818"/>
      <c r="F86" s="818"/>
    </row>
    <row r="87" spans="2:6">
      <c r="B87" s="276"/>
      <c r="C87" s="819"/>
      <c r="D87" s="819"/>
      <c r="E87" s="818"/>
      <c r="F87" s="818"/>
    </row>
    <row r="88" spans="2:6">
      <c r="B88" s="276"/>
      <c r="C88" s="819"/>
      <c r="D88" s="819"/>
      <c r="E88" s="818"/>
      <c r="F88" s="818"/>
    </row>
    <row r="89" spans="2:6">
      <c r="B89" s="276"/>
      <c r="C89" s="819"/>
      <c r="D89" s="819"/>
      <c r="E89" s="818"/>
      <c r="F89" s="818"/>
    </row>
    <row r="90" spans="2:6">
      <c r="B90" s="276"/>
      <c r="C90" s="819"/>
      <c r="D90" s="819"/>
      <c r="E90" s="818"/>
      <c r="F90" s="818"/>
    </row>
    <row r="91" spans="2:6">
      <c r="B91" s="276"/>
      <c r="C91" s="819"/>
      <c r="D91" s="819"/>
      <c r="E91" s="818"/>
      <c r="F91" s="818"/>
    </row>
    <row r="92" spans="2:6">
      <c r="B92" s="276"/>
      <c r="C92" s="819"/>
      <c r="D92" s="819"/>
      <c r="E92" s="818"/>
      <c r="F92" s="818"/>
    </row>
    <row r="93" spans="2:6">
      <c r="B93" s="820"/>
      <c r="C93" s="821"/>
      <c r="D93" s="821"/>
    </row>
    <row r="94" spans="2:6">
      <c r="B94" s="820"/>
      <c r="C94" s="821"/>
      <c r="D94" s="821"/>
    </row>
    <row r="95" spans="2:6">
      <c r="B95" s="820"/>
      <c r="C95" s="821"/>
      <c r="D95" s="821"/>
    </row>
    <row r="96" spans="2:6">
      <c r="B96" s="820"/>
      <c r="C96" s="821"/>
      <c r="D96" s="821"/>
    </row>
    <row r="97" spans="2:4">
      <c r="B97" s="820"/>
      <c r="C97" s="821"/>
      <c r="D97" s="821"/>
    </row>
    <row r="98" spans="2:4">
      <c r="B98" s="820"/>
      <c r="C98" s="821"/>
      <c r="D98" s="821"/>
    </row>
    <row r="99" spans="2:4">
      <c r="B99" s="820"/>
      <c r="C99" s="821"/>
      <c r="D99" s="821"/>
    </row>
    <row r="100" spans="2:4">
      <c r="B100" s="820"/>
      <c r="C100" s="821"/>
      <c r="D100" s="821"/>
    </row>
    <row r="101" spans="2:4">
      <c r="B101" s="820"/>
      <c r="C101" s="821"/>
      <c r="D101" s="821"/>
    </row>
    <row r="102" spans="2:4">
      <c r="B102" s="820"/>
      <c r="C102" s="821"/>
      <c r="D102" s="821"/>
    </row>
    <row r="103" spans="2:4">
      <c r="B103" s="820"/>
      <c r="C103" s="821"/>
      <c r="D103" s="821"/>
    </row>
    <row r="104" spans="2:4">
      <c r="B104" s="820"/>
      <c r="C104" s="821"/>
      <c r="D104" s="821"/>
    </row>
    <row r="105" spans="2:4">
      <c r="B105" s="820"/>
      <c r="C105" s="821"/>
      <c r="D105" s="821"/>
    </row>
    <row r="106" spans="2:4">
      <c r="B106" s="820"/>
      <c r="C106" s="821"/>
      <c r="D106" s="821"/>
    </row>
    <row r="107" spans="2:4">
      <c r="B107" s="820"/>
      <c r="C107" s="821"/>
      <c r="D107" s="821"/>
    </row>
    <row r="108" spans="2:4">
      <c r="B108" s="820"/>
      <c r="C108" s="821"/>
      <c r="D108" s="821"/>
    </row>
    <row r="109" spans="2:4">
      <c r="B109" s="821"/>
      <c r="C109" s="821"/>
      <c r="D109" s="821"/>
    </row>
    <row r="110" spans="2:4">
      <c r="B110" s="821"/>
      <c r="C110" s="821"/>
      <c r="D110" s="821"/>
    </row>
    <row r="111" spans="2:4">
      <c r="B111" s="821"/>
      <c r="C111" s="821"/>
      <c r="D111" s="821"/>
    </row>
    <row r="112" spans="2:4">
      <c r="B112" s="821"/>
      <c r="C112" s="821"/>
      <c r="D112" s="821"/>
    </row>
    <row r="113" spans="2:4">
      <c r="B113" s="821"/>
      <c r="C113" s="821"/>
      <c r="D113" s="821"/>
    </row>
    <row r="114" spans="2:4">
      <c r="B114" s="821"/>
      <c r="C114" s="821"/>
      <c r="D114" s="821"/>
    </row>
    <row r="115" spans="2:4">
      <c r="B115" s="821"/>
      <c r="C115" s="821"/>
      <c r="D115" s="821"/>
    </row>
    <row r="116" spans="2:4">
      <c r="B116" s="821"/>
      <c r="C116" s="821"/>
      <c r="D116" s="821"/>
    </row>
    <row r="117" spans="2:4">
      <c r="B117" s="821"/>
      <c r="C117" s="821"/>
      <c r="D117" s="821"/>
    </row>
    <row r="118" spans="2:4">
      <c r="B118" s="821"/>
      <c r="C118" s="821"/>
      <c r="D118" s="821"/>
    </row>
    <row r="119" spans="2:4">
      <c r="B119" s="821"/>
      <c r="C119" s="821"/>
      <c r="D119" s="821"/>
    </row>
    <row r="120" spans="2:4">
      <c r="B120" s="821"/>
      <c r="C120" s="821"/>
      <c r="D120" s="821"/>
    </row>
    <row r="121" spans="2:4">
      <c r="B121" s="821"/>
      <c r="C121" s="821"/>
      <c r="D121" s="821"/>
    </row>
    <row r="122" spans="2:4">
      <c r="B122" s="821"/>
      <c r="C122" s="821"/>
      <c r="D122" s="821"/>
    </row>
    <row r="123" spans="2:4">
      <c r="B123" s="821"/>
      <c r="C123" s="821"/>
      <c r="D123" s="821"/>
    </row>
    <row r="124" spans="2:4">
      <c r="B124" s="821"/>
      <c r="C124" s="821"/>
      <c r="D124" s="821"/>
    </row>
    <row r="125" spans="2:4">
      <c r="B125" s="821"/>
      <c r="C125" s="821"/>
      <c r="D125" s="821"/>
    </row>
    <row r="126" spans="2:4">
      <c r="B126" s="821"/>
      <c r="C126" s="821"/>
      <c r="D126" s="821"/>
    </row>
    <row r="127" spans="2:4">
      <c r="B127" s="821"/>
      <c r="C127" s="821"/>
      <c r="D127" s="821"/>
    </row>
    <row r="128" spans="2:4">
      <c r="B128" s="821"/>
      <c r="C128" s="821"/>
      <c r="D128" s="821"/>
    </row>
    <row r="129" spans="2:4">
      <c r="B129" s="821"/>
      <c r="C129" s="821"/>
      <c r="D129" s="821"/>
    </row>
    <row r="130" spans="2:4">
      <c r="B130" s="821"/>
      <c r="C130" s="821"/>
      <c r="D130" s="821"/>
    </row>
    <row r="131" spans="2:4">
      <c r="B131" s="821"/>
      <c r="C131" s="821"/>
      <c r="D131" s="821"/>
    </row>
    <row r="132" spans="2:4">
      <c r="B132" s="821"/>
      <c r="C132" s="821"/>
      <c r="D132" s="821"/>
    </row>
    <row r="133" spans="2:4">
      <c r="B133" s="821"/>
      <c r="C133" s="821"/>
      <c r="D133" s="821"/>
    </row>
    <row r="134" spans="2:4">
      <c r="B134" s="821"/>
      <c r="C134" s="821"/>
      <c r="D134" s="821"/>
    </row>
    <row r="135" spans="2:4">
      <c r="B135" s="821"/>
      <c r="C135" s="821"/>
      <c r="D135" s="821"/>
    </row>
    <row r="136" spans="2:4">
      <c r="B136" s="821"/>
      <c r="C136" s="821"/>
      <c r="D136" s="821"/>
    </row>
    <row r="137" spans="2:4">
      <c r="B137" s="821"/>
      <c r="C137" s="821"/>
      <c r="D137" s="821"/>
    </row>
    <row r="138" spans="2:4">
      <c r="B138" s="821"/>
      <c r="C138" s="821"/>
      <c r="D138" s="821"/>
    </row>
    <row r="139" spans="2:4">
      <c r="B139" s="821"/>
      <c r="C139" s="821"/>
      <c r="D139" s="821"/>
    </row>
    <row r="140" spans="2:4">
      <c r="B140" s="821"/>
      <c r="C140" s="821"/>
      <c r="D140" s="821"/>
    </row>
    <row r="141" spans="2:4">
      <c r="B141" s="821"/>
      <c r="C141" s="821"/>
      <c r="D141" s="821"/>
    </row>
    <row r="142" spans="2:4">
      <c r="B142" s="821"/>
      <c r="C142" s="821"/>
      <c r="D142" s="821"/>
    </row>
    <row r="143" spans="2:4">
      <c r="B143" s="821"/>
      <c r="C143" s="821"/>
      <c r="D143" s="821"/>
    </row>
    <row r="144" spans="2:4">
      <c r="B144" s="821"/>
      <c r="C144" s="821"/>
      <c r="D144" s="821"/>
    </row>
    <row r="145" spans="2:4">
      <c r="B145" s="821"/>
      <c r="C145" s="821"/>
      <c r="D145" s="821"/>
    </row>
  </sheetData>
  <mergeCells count="14">
    <mergeCell ref="G17:G18"/>
    <mergeCell ref="A19:C19"/>
    <mergeCell ref="A11:A13"/>
    <mergeCell ref="B11:B13"/>
    <mergeCell ref="A17:A18"/>
    <mergeCell ref="B17:B18"/>
    <mergeCell ref="C17:C18"/>
    <mergeCell ref="E17:E18"/>
    <mergeCell ref="B1:E1"/>
    <mergeCell ref="A2:G2"/>
    <mergeCell ref="A4:A5"/>
    <mergeCell ref="B4:B5"/>
    <mergeCell ref="A9:A10"/>
    <mergeCell ref="B9:B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F23"/>
  <sheetViews>
    <sheetView view="pageBreakPreview" zoomScaleNormal="100" zoomScaleSheetLayoutView="100" workbookViewId="0">
      <selection activeCell="A2" sqref="A2:F2"/>
    </sheetView>
  </sheetViews>
  <sheetFormatPr defaultRowHeight="12.75"/>
  <cols>
    <col min="1" max="1" width="10.7109375" style="1" customWidth="1"/>
    <col min="2" max="2" width="10.5703125" style="1" customWidth="1"/>
    <col min="3" max="3" width="12.140625" style="1" customWidth="1"/>
    <col min="4" max="4" width="15.85546875" style="1" customWidth="1"/>
    <col min="5" max="5" width="19" style="1" customWidth="1"/>
    <col min="6" max="6" width="58" style="1" customWidth="1"/>
    <col min="7" max="256" width="9.140625" style="1"/>
    <col min="257" max="257" width="10.7109375" style="1" customWidth="1"/>
    <col min="258" max="258" width="10.5703125" style="1" customWidth="1"/>
    <col min="259" max="259" width="10.28515625" style="1" customWidth="1"/>
    <col min="260" max="260" width="13.28515625" style="1" customWidth="1"/>
    <col min="261" max="261" width="13.42578125" style="1" customWidth="1"/>
    <col min="262" max="262" width="54.42578125" style="1" customWidth="1"/>
    <col min="263" max="512" width="9.140625" style="1"/>
    <col min="513" max="513" width="10.7109375" style="1" customWidth="1"/>
    <col min="514" max="514" width="10.5703125" style="1" customWidth="1"/>
    <col min="515" max="515" width="10.28515625" style="1" customWidth="1"/>
    <col min="516" max="516" width="13.28515625" style="1" customWidth="1"/>
    <col min="517" max="517" width="13.42578125" style="1" customWidth="1"/>
    <col min="518" max="518" width="54.42578125" style="1" customWidth="1"/>
    <col min="519" max="768" width="9.140625" style="1"/>
    <col min="769" max="769" width="10.7109375" style="1" customWidth="1"/>
    <col min="770" max="770" width="10.5703125" style="1" customWidth="1"/>
    <col min="771" max="771" width="10.28515625" style="1" customWidth="1"/>
    <col min="772" max="772" width="13.28515625" style="1" customWidth="1"/>
    <col min="773" max="773" width="13.42578125" style="1" customWidth="1"/>
    <col min="774" max="774" width="54.42578125" style="1" customWidth="1"/>
    <col min="775" max="1024" width="9.140625" style="1"/>
    <col min="1025" max="1025" width="10.7109375" style="1" customWidth="1"/>
    <col min="1026" max="1026" width="10.5703125" style="1" customWidth="1"/>
    <col min="1027" max="1027" width="10.28515625" style="1" customWidth="1"/>
    <col min="1028" max="1028" width="13.28515625" style="1" customWidth="1"/>
    <col min="1029" max="1029" width="13.42578125" style="1" customWidth="1"/>
    <col min="1030" max="1030" width="54.42578125" style="1" customWidth="1"/>
    <col min="1031" max="1280" width="9.140625" style="1"/>
    <col min="1281" max="1281" width="10.7109375" style="1" customWidth="1"/>
    <col min="1282" max="1282" width="10.5703125" style="1" customWidth="1"/>
    <col min="1283" max="1283" width="10.28515625" style="1" customWidth="1"/>
    <col min="1284" max="1284" width="13.28515625" style="1" customWidth="1"/>
    <col min="1285" max="1285" width="13.42578125" style="1" customWidth="1"/>
    <col min="1286" max="1286" width="54.42578125" style="1" customWidth="1"/>
    <col min="1287" max="1536" width="9.140625" style="1"/>
    <col min="1537" max="1537" width="10.7109375" style="1" customWidth="1"/>
    <col min="1538" max="1538" width="10.5703125" style="1" customWidth="1"/>
    <col min="1539" max="1539" width="10.28515625" style="1" customWidth="1"/>
    <col min="1540" max="1540" width="13.28515625" style="1" customWidth="1"/>
    <col min="1541" max="1541" width="13.42578125" style="1" customWidth="1"/>
    <col min="1542" max="1542" width="54.42578125" style="1" customWidth="1"/>
    <col min="1543" max="1792" width="9.140625" style="1"/>
    <col min="1793" max="1793" width="10.7109375" style="1" customWidth="1"/>
    <col min="1794" max="1794" width="10.5703125" style="1" customWidth="1"/>
    <col min="1795" max="1795" width="10.28515625" style="1" customWidth="1"/>
    <col min="1796" max="1796" width="13.28515625" style="1" customWidth="1"/>
    <col min="1797" max="1797" width="13.42578125" style="1" customWidth="1"/>
    <col min="1798" max="1798" width="54.42578125" style="1" customWidth="1"/>
    <col min="1799" max="2048" width="9.140625" style="1"/>
    <col min="2049" max="2049" width="10.7109375" style="1" customWidth="1"/>
    <col min="2050" max="2050" width="10.5703125" style="1" customWidth="1"/>
    <col min="2051" max="2051" width="10.28515625" style="1" customWidth="1"/>
    <col min="2052" max="2052" width="13.28515625" style="1" customWidth="1"/>
    <col min="2053" max="2053" width="13.42578125" style="1" customWidth="1"/>
    <col min="2054" max="2054" width="54.42578125" style="1" customWidth="1"/>
    <col min="2055" max="2304" width="9.140625" style="1"/>
    <col min="2305" max="2305" width="10.7109375" style="1" customWidth="1"/>
    <col min="2306" max="2306" width="10.5703125" style="1" customWidth="1"/>
    <col min="2307" max="2307" width="10.28515625" style="1" customWidth="1"/>
    <col min="2308" max="2308" width="13.28515625" style="1" customWidth="1"/>
    <col min="2309" max="2309" width="13.42578125" style="1" customWidth="1"/>
    <col min="2310" max="2310" width="54.42578125" style="1" customWidth="1"/>
    <col min="2311" max="2560" width="9.140625" style="1"/>
    <col min="2561" max="2561" width="10.7109375" style="1" customWidth="1"/>
    <col min="2562" max="2562" width="10.5703125" style="1" customWidth="1"/>
    <col min="2563" max="2563" width="10.28515625" style="1" customWidth="1"/>
    <col min="2564" max="2564" width="13.28515625" style="1" customWidth="1"/>
    <col min="2565" max="2565" width="13.42578125" style="1" customWidth="1"/>
    <col min="2566" max="2566" width="54.42578125" style="1" customWidth="1"/>
    <col min="2567" max="2816" width="9.140625" style="1"/>
    <col min="2817" max="2817" width="10.7109375" style="1" customWidth="1"/>
    <col min="2818" max="2818" width="10.5703125" style="1" customWidth="1"/>
    <col min="2819" max="2819" width="10.28515625" style="1" customWidth="1"/>
    <col min="2820" max="2820" width="13.28515625" style="1" customWidth="1"/>
    <col min="2821" max="2821" width="13.42578125" style="1" customWidth="1"/>
    <col min="2822" max="2822" width="54.42578125" style="1" customWidth="1"/>
    <col min="2823" max="3072" width="9.140625" style="1"/>
    <col min="3073" max="3073" width="10.7109375" style="1" customWidth="1"/>
    <col min="3074" max="3074" width="10.5703125" style="1" customWidth="1"/>
    <col min="3075" max="3075" width="10.28515625" style="1" customWidth="1"/>
    <col min="3076" max="3076" width="13.28515625" style="1" customWidth="1"/>
    <col min="3077" max="3077" width="13.42578125" style="1" customWidth="1"/>
    <col min="3078" max="3078" width="54.42578125" style="1" customWidth="1"/>
    <col min="3079" max="3328" width="9.140625" style="1"/>
    <col min="3329" max="3329" width="10.7109375" style="1" customWidth="1"/>
    <col min="3330" max="3330" width="10.5703125" style="1" customWidth="1"/>
    <col min="3331" max="3331" width="10.28515625" style="1" customWidth="1"/>
    <col min="3332" max="3332" width="13.28515625" style="1" customWidth="1"/>
    <col min="3333" max="3333" width="13.42578125" style="1" customWidth="1"/>
    <col min="3334" max="3334" width="54.42578125" style="1" customWidth="1"/>
    <col min="3335" max="3584" width="9.140625" style="1"/>
    <col min="3585" max="3585" width="10.7109375" style="1" customWidth="1"/>
    <col min="3586" max="3586" width="10.5703125" style="1" customWidth="1"/>
    <col min="3587" max="3587" width="10.28515625" style="1" customWidth="1"/>
    <col min="3588" max="3588" width="13.28515625" style="1" customWidth="1"/>
    <col min="3589" max="3589" width="13.42578125" style="1" customWidth="1"/>
    <col min="3590" max="3590" width="54.42578125" style="1" customWidth="1"/>
    <col min="3591" max="3840" width="9.140625" style="1"/>
    <col min="3841" max="3841" width="10.7109375" style="1" customWidth="1"/>
    <col min="3842" max="3842" width="10.5703125" style="1" customWidth="1"/>
    <col min="3843" max="3843" width="10.28515625" style="1" customWidth="1"/>
    <col min="3844" max="3844" width="13.28515625" style="1" customWidth="1"/>
    <col min="3845" max="3845" width="13.42578125" style="1" customWidth="1"/>
    <col min="3846" max="3846" width="54.42578125" style="1" customWidth="1"/>
    <col min="3847" max="4096" width="9.140625" style="1"/>
    <col min="4097" max="4097" width="10.7109375" style="1" customWidth="1"/>
    <col min="4098" max="4098" width="10.5703125" style="1" customWidth="1"/>
    <col min="4099" max="4099" width="10.28515625" style="1" customWidth="1"/>
    <col min="4100" max="4100" width="13.28515625" style="1" customWidth="1"/>
    <col min="4101" max="4101" width="13.42578125" style="1" customWidth="1"/>
    <col min="4102" max="4102" width="54.42578125" style="1" customWidth="1"/>
    <col min="4103" max="4352" width="9.140625" style="1"/>
    <col min="4353" max="4353" width="10.7109375" style="1" customWidth="1"/>
    <col min="4354" max="4354" width="10.5703125" style="1" customWidth="1"/>
    <col min="4355" max="4355" width="10.28515625" style="1" customWidth="1"/>
    <col min="4356" max="4356" width="13.28515625" style="1" customWidth="1"/>
    <col min="4357" max="4357" width="13.42578125" style="1" customWidth="1"/>
    <col min="4358" max="4358" width="54.42578125" style="1" customWidth="1"/>
    <col min="4359" max="4608" width="9.140625" style="1"/>
    <col min="4609" max="4609" width="10.7109375" style="1" customWidth="1"/>
    <col min="4610" max="4610" width="10.5703125" style="1" customWidth="1"/>
    <col min="4611" max="4611" width="10.28515625" style="1" customWidth="1"/>
    <col min="4612" max="4612" width="13.28515625" style="1" customWidth="1"/>
    <col min="4613" max="4613" width="13.42578125" style="1" customWidth="1"/>
    <col min="4614" max="4614" width="54.42578125" style="1" customWidth="1"/>
    <col min="4615" max="4864" width="9.140625" style="1"/>
    <col min="4865" max="4865" width="10.7109375" style="1" customWidth="1"/>
    <col min="4866" max="4866" width="10.5703125" style="1" customWidth="1"/>
    <col min="4867" max="4867" width="10.28515625" style="1" customWidth="1"/>
    <col min="4868" max="4868" width="13.28515625" style="1" customWidth="1"/>
    <col min="4869" max="4869" width="13.42578125" style="1" customWidth="1"/>
    <col min="4870" max="4870" width="54.42578125" style="1" customWidth="1"/>
    <col min="4871" max="5120" width="9.140625" style="1"/>
    <col min="5121" max="5121" width="10.7109375" style="1" customWidth="1"/>
    <col min="5122" max="5122" width="10.5703125" style="1" customWidth="1"/>
    <col min="5123" max="5123" width="10.28515625" style="1" customWidth="1"/>
    <col min="5124" max="5124" width="13.28515625" style="1" customWidth="1"/>
    <col min="5125" max="5125" width="13.42578125" style="1" customWidth="1"/>
    <col min="5126" max="5126" width="54.42578125" style="1" customWidth="1"/>
    <col min="5127" max="5376" width="9.140625" style="1"/>
    <col min="5377" max="5377" width="10.7109375" style="1" customWidth="1"/>
    <col min="5378" max="5378" width="10.5703125" style="1" customWidth="1"/>
    <col min="5379" max="5379" width="10.28515625" style="1" customWidth="1"/>
    <col min="5380" max="5380" width="13.28515625" style="1" customWidth="1"/>
    <col min="5381" max="5381" width="13.42578125" style="1" customWidth="1"/>
    <col min="5382" max="5382" width="54.42578125" style="1" customWidth="1"/>
    <col min="5383" max="5632" width="9.140625" style="1"/>
    <col min="5633" max="5633" width="10.7109375" style="1" customWidth="1"/>
    <col min="5634" max="5634" width="10.5703125" style="1" customWidth="1"/>
    <col min="5635" max="5635" width="10.28515625" style="1" customWidth="1"/>
    <col min="5636" max="5636" width="13.28515625" style="1" customWidth="1"/>
    <col min="5637" max="5637" width="13.42578125" style="1" customWidth="1"/>
    <col min="5638" max="5638" width="54.42578125" style="1" customWidth="1"/>
    <col min="5639" max="5888" width="9.140625" style="1"/>
    <col min="5889" max="5889" width="10.7109375" style="1" customWidth="1"/>
    <col min="5890" max="5890" width="10.5703125" style="1" customWidth="1"/>
    <col min="5891" max="5891" width="10.28515625" style="1" customWidth="1"/>
    <col min="5892" max="5892" width="13.28515625" style="1" customWidth="1"/>
    <col min="5893" max="5893" width="13.42578125" style="1" customWidth="1"/>
    <col min="5894" max="5894" width="54.42578125" style="1" customWidth="1"/>
    <col min="5895" max="6144" width="9.140625" style="1"/>
    <col min="6145" max="6145" width="10.7109375" style="1" customWidth="1"/>
    <col min="6146" max="6146" width="10.5703125" style="1" customWidth="1"/>
    <col min="6147" max="6147" width="10.28515625" style="1" customWidth="1"/>
    <col min="6148" max="6148" width="13.28515625" style="1" customWidth="1"/>
    <col min="6149" max="6149" width="13.42578125" style="1" customWidth="1"/>
    <col min="6150" max="6150" width="54.42578125" style="1" customWidth="1"/>
    <col min="6151" max="6400" width="9.140625" style="1"/>
    <col min="6401" max="6401" width="10.7109375" style="1" customWidth="1"/>
    <col min="6402" max="6402" width="10.5703125" style="1" customWidth="1"/>
    <col min="6403" max="6403" width="10.28515625" style="1" customWidth="1"/>
    <col min="6404" max="6404" width="13.28515625" style="1" customWidth="1"/>
    <col min="6405" max="6405" width="13.42578125" style="1" customWidth="1"/>
    <col min="6406" max="6406" width="54.42578125" style="1" customWidth="1"/>
    <col min="6407" max="6656" width="9.140625" style="1"/>
    <col min="6657" max="6657" width="10.7109375" style="1" customWidth="1"/>
    <col min="6658" max="6658" width="10.5703125" style="1" customWidth="1"/>
    <col min="6659" max="6659" width="10.28515625" style="1" customWidth="1"/>
    <col min="6660" max="6660" width="13.28515625" style="1" customWidth="1"/>
    <col min="6661" max="6661" width="13.42578125" style="1" customWidth="1"/>
    <col min="6662" max="6662" width="54.42578125" style="1" customWidth="1"/>
    <col min="6663" max="6912" width="9.140625" style="1"/>
    <col min="6913" max="6913" width="10.7109375" style="1" customWidth="1"/>
    <col min="6914" max="6914" width="10.5703125" style="1" customWidth="1"/>
    <col min="6915" max="6915" width="10.28515625" style="1" customWidth="1"/>
    <col min="6916" max="6916" width="13.28515625" style="1" customWidth="1"/>
    <col min="6917" max="6917" width="13.42578125" style="1" customWidth="1"/>
    <col min="6918" max="6918" width="54.42578125" style="1" customWidth="1"/>
    <col min="6919" max="7168" width="9.140625" style="1"/>
    <col min="7169" max="7169" width="10.7109375" style="1" customWidth="1"/>
    <col min="7170" max="7170" width="10.5703125" style="1" customWidth="1"/>
    <col min="7171" max="7171" width="10.28515625" style="1" customWidth="1"/>
    <col min="7172" max="7172" width="13.28515625" style="1" customWidth="1"/>
    <col min="7173" max="7173" width="13.42578125" style="1" customWidth="1"/>
    <col min="7174" max="7174" width="54.42578125" style="1" customWidth="1"/>
    <col min="7175" max="7424" width="9.140625" style="1"/>
    <col min="7425" max="7425" width="10.7109375" style="1" customWidth="1"/>
    <col min="7426" max="7426" width="10.5703125" style="1" customWidth="1"/>
    <col min="7427" max="7427" width="10.28515625" style="1" customWidth="1"/>
    <col min="7428" max="7428" width="13.28515625" style="1" customWidth="1"/>
    <col min="7429" max="7429" width="13.42578125" style="1" customWidth="1"/>
    <col min="7430" max="7430" width="54.42578125" style="1" customWidth="1"/>
    <col min="7431" max="7680" width="9.140625" style="1"/>
    <col min="7681" max="7681" width="10.7109375" style="1" customWidth="1"/>
    <col min="7682" max="7682" width="10.5703125" style="1" customWidth="1"/>
    <col min="7683" max="7683" width="10.28515625" style="1" customWidth="1"/>
    <col min="7684" max="7684" width="13.28515625" style="1" customWidth="1"/>
    <col min="7685" max="7685" width="13.42578125" style="1" customWidth="1"/>
    <col min="7686" max="7686" width="54.42578125" style="1" customWidth="1"/>
    <col min="7687" max="7936" width="9.140625" style="1"/>
    <col min="7937" max="7937" width="10.7109375" style="1" customWidth="1"/>
    <col min="7938" max="7938" width="10.5703125" style="1" customWidth="1"/>
    <col min="7939" max="7939" width="10.28515625" style="1" customWidth="1"/>
    <col min="7940" max="7940" width="13.28515625" style="1" customWidth="1"/>
    <col min="7941" max="7941" width="13.42578125" style="1" customWidth="1"/>
    <col min="7942" max="7942" width="54.42578125" style="1" customWidth="1"/>
    <col min="7943" max="8192" width="9.140625" style="1"/>
    <col min="8193" max="8193" width="10.7109375" style="1" customWidth="1"/>
    <col min="8194" max="8194" width="10.5703125" style="1" customWidth="1"/>
    <col min="8195" max="8195" width="10.28515625" style="1" customWidth="1"/>
    <col min="8196" max="8196" width="13.28515625" style="1" customWidth="1"/>
    <col min="8197" max="8197" width="13.42578125" style="1" customWidth="1"/>
    <col min="8198" max="8198" width="54.42578125" style="1" customWidth="1"/>
    <col min="8199" max="8448" width="9.140625" style="1"/>
    <col min="8449" max="8449" width="10.7109375" style="1" customWidth="1"/>
    <col min="8450" max="8450" width="10.5703125" style="1" customWidth="1"/>
    <col min="8451" max="8451" width="10.28515625" style="1" customWidth="1"/>
    <col min="8452" max="8452" width="13.28515625" style="1" customWidth="1"/>
    <col min="8453" max="8453" width="13.42578125" style="1" customWidth="1"/>
    <col min="8454" max="8454" width="54.42578125" style="1" customWidth="1"/>
    <col min="8455" max="8704" width="9.140625" style="1"/>
    <col min="8705" max="8705" width="10.7109375" style="1" customWidth="1"/>
    <col min="8706" max="8706" width="10.5703125" style="1" customWidth="1"/>
    <col min="8707" max="8707" width="10.28515625" style="1" customWidth="1"/>
    <col min="8708" max="8708" width="13.28515625" style="1" customWidth="1"/>
    <col min="8709" max="8709" width="13.42578125" style="1" customWidth="1"/>
    <col min="8710" max="8710" width="54.42578125" style="1" customWidth="1"/>
    <col min="8711" max="8960" width="9.140625" style="1"/>
    <col min="8961" max="8961" width="10.7109375" style="1" customWidth="1"/>
    <col min="8962" max="8962" width="10.5703125" style="1" customWidth="1"/>
    <col min="8963" max="8963" width="10.28515625" style="1" customWidth="1"/>
    <col min="8964" max="8964" width="13.28515625" style="1" customWidth="1"/>
    <col min="8965" max="8965" width="13.42578125" style="1" customWidth="1"/>
    <col min="8966" max="8966" width="54.42578125" style="1" customWidth="1"/>
    <col min="8967" max="9216" width="9.140625" style="1"/>
    <col min="9217" max="9217" width="10.7109375" style="1" customWidth="1"/>
    <col min="9218" max="9218" width="10.5703125" style="1" customWidth="1"/>
    <col min="9219" max="9219" width="10.28515625" style="1" customWidth="1"/>
    <col min="9220" max="9220" width="13.28515625" style="1" customWidth="1"/>
    <col min="9221" max="9221" width="13.42578125" style="1" customWidth="1"/>
    <col min="9222" max="9222" width="54.42578125" style="1" customWidth="1"/>
    <col min="9223" max="9472" width="9.140625" style="1"/>
    <col min="9473" max="9473" width="10.7109375" style="1" customWidth="1"/>
    <col min="9474" max="9474" width="10.5703125" style="1" customWidth="1"/>
    <col min="9475" max="9475" width="10.28515625" style="1" customWidth="1"/>
    <col min="9476" max="9476" width="13.28515625" style="1" customWidth="1"/>
    <col min="9477" max="9477" width="13.42578125" style="1" customWidth="1"/>
    <col min="9478" max="9478" width="54.42578125" style="1" customWidth="1"/>
    <col min="9479" max="9728" width="9.140625" style="1"/>
    <col min="9729" max="9729" width="10.7109375" style="1" customWidth="1"/>
    <col min="9730" max="9730" width="10.5703125" style="1" customWidth="1"/>
    <col min="9731" max="9731" width="10.28515625" style="1" customWidth="1"/>
    <col min="9732" max="9732" width="13.28515625" style="1" customWidth="1"/>
    <col min="9733" max="9733" width="13.42578125" style="1" customWidth="1"/>
    <col min="9734" max="9734" width="54.42578125" style="1" customWidth="1"/>
    <col min="9735" max="9984" width="9.140625" style="1"/>
    <col min="9985" max="9985" width="10.7109375" style="1" customWidth="1"/>
    <col min="9986" max="9986" width="10.5703125" style="1" customWidth="1"/>
    <col min="9987" max="9987" width="10.28515625" style="1" customWidth="1"/>
    <col min="9988" max="9988" width="13.28515625" style="1" customWidth="1"/>
    <col min="9989" max="9989" width="13.42578125" style="1" customWidth="1"/>
    <col min="9990" max="9990" width="54.42578125" style="1" customWidth="1"/>
    <col min="9991" max="10240" width="9.140625" style="1"/>
    <col min="10241" max="10241" width="10.7109375" style="1" customWidth="1"/>
    <col min="10242" max="10242" width="10.5703125" style="1" customWidth="1"/>
    <col min="10243" max="10243" width="10.28515625" style="1" customWidth="1"/>
    <col min="10244" max="10244" width="13.28515625" style="1" customWidth="1"/>
    <col min="10245" max="10245" width="13.42578125" style="1" customWidth="1"/>
    <col min="10246" max="10246" width="54.42578125" style="1" customWidth="1"/>
    <col min="10247" max="10496" width="9.140625" style="1"/>
    <col min="10497" max="10497" width="10.7109375" style="1" customWidth="1"/>
    <col min="10498" max="10498" width="10.5703125" style="1" customWidth="1"/>
    <col min="10499" max="10499" width="10.28515625" style="1" customWidth="1"/>
    <col min="10500" max="10500" width="13.28515625" style="1" customWidth="1"/>
    <col min="10501" max="10501" width="13.42578125" style="1" customWidth="1"/>
    <col min="10502" max="10502" width="54.42578125" style="1" customWidth="1"/>
    <col min="10503" max="10752" width="9.140625" style="1"/>
    <col min="10753" max="10753" width="10.7109375" style="1" customWidth="1"/>
    <col min="10754" max="10754" width="10.5703125" style="1" customWidth="1"/>
    <col min="10755" max="10755" width="10.28515625" style="1" customWidth="1"/>
    <col min="10756" max="10756" width="13.28515625" style="1" customWidth="1"/>
    <col min="10757" max="10757" width="13.42578125" style="1" customWidth="1"/>
    <col min="10758" max="10758" width="54.42578125" style="1" customWidth="1"/>
    <col min="10759" max="11008" width="9.140625" style="1"/>
    <col min="11009" max="11009" width="10.7109375" style="1" customWidth="1"/>
    <col min="11010" max="11010" width="10.5703125" style="1" customWidth="1"/>
    <col min="11011" max="11011" width="10.28515625" style="1" customWidth="1"/>
    <col min="11012" max="11012" width="13.28515625" style="1" customWidth="1"/>
    <col min="11013" max="11013" width="13.42578125" style="1" customWidth="1"/>
    <col min="11014" max="11014" width="54.42578125" style="1" customWidth="1"/>
    <col min="11015" max="11264" width="9.140625" style="1"/>
    <col min="11265" max="11265" width="10.7109375" style="1" customWidth="1"/>
    <col min="11266" max="11266" width="10.5703125" style="1" customWidth="1"/>
    <col min="11267" max="11267" width="10.28515625" style="1" customWidth="1"/>
    <col min="11268" max="11268" width="13.28515625" style="1" customWidth="1"/>
    <col min="11269" max="11269" width="13.42578125" style="1" customWidth="1"/>
    <col min="11270" max="11270" width="54.42578125" style="1" customWidth="1"/>
    <col min="11271" max="11520" width="9.140625" style="1"/>
    <col min="11521" max="11521" width="10.7109375" style="1" customWidth="1"/>
    <col min="11522" max="11522" width="10.5703125" style="1" customWidth="1"/>
    <col min="11523" max="11523" width="10.28515625" style="1" customWidth="1"/>
    <col min="11524" max="11524" width="13.28515625" style="1" customWidth="1"/>
    <col min="11525" max="11525" width="13.42578125" style="1" customWidth="1"/>
    <col min="11526" max="11526" width="54.42578125" style="1" customWidth="1"/>
    <col min="11527" max="11776" width="9.140625" style="1"/>
    <col min="11777" max="11777" width="10.7109375" style="1" customWidth="1"/>
    <col min="11778" max="11778" width="10.5703125" style="1" customWidth="1"/>
    <col min="11779" max="11779" width="10.28515625" style="1" customWidth="1"/>
    <col min="11780" max="11780" width="13.28515625" style="1" customWidth="1"/>
    <col min="11781" max="11781" width="13.42578125" style="1" customWidth="1"/>
    <col min="11782" max="11782" width="54.42578125" style="1" customWidth="1"/>
    <col min="11783" max="12032" width="9.140625" style="1"/>
    <col min="12033" max="12033" width="10.7109375" style="1" customWidth="1"/>
    <col min="12034" max="12034" width="10.5703125" style="1" customWidth="1"/>
    <col min="12035" max="12035" width="10.28515625" style="1" customWidth="1"/>
    <col min="12036" max="12036" width="13.28515625" style="1" customWidth="1"/>
    <col min="12037" max="12037" width="13.42578125" style="1" customWidth="1"/>
    <col min="12038" max="12038" width="54.42578125" style="1" customWidth="1"/>
    <col min="12039" max="12288" width="9.140625" style="1"/>
    <col min="12289" max="12289" width="10.7109375" style="1" customWidth="1"/>
    <col min="12290" max="12290" width="10.5703125" style="1" customWidth="1"/>
    <col min="12291" max="12291" width="10.28515625" style="1" customWidth="1"/>
    <col min="12292" max="12292" width="13.28515625" style="1" customWidth="1"/>
    <col min="12293" max="12293" width="13.42578125" style="1" customWidth="1"/>
    <col min="12294" max="12294" width="54.42578125" style="1" customWidth="1"/>
    <col min="12295" max="12544" width="9.140625" style="1"/>
    <col min="12545" max="12545" width="10.7109375" style="1" customWidth="1"/>
    <col min="12546" max="12546" width="10.5703125" style="1" customWidth="1"/>
    <col min="12547" max="12547" width="10.28515625" style="1" customWidth="1"/>
    <col min="12548" max="12548" width="13.28515625" style="1" customWidth="1"/>
    <col min="12549" max="12549" width="13.42578125" style="1" customWidth="1"/>
    <col min="12550" max="12550" width="54.42578125" style="1" customWidth="1"/>
    <col min="12551" max="12800" width="9.140625" style="1"/>
    <col min="12801" max="12801" width="10.7109375" style="1" customWidth="1"/>
    <col min="12802" max="12802" width="10.5703125" style="1" customWidth="1"/>
    <col min="12803" max="12803" width="10.28515625" style="1" customWidth="1"/>
    <col min="12804" max="12804" width="13.28515625" style="1" customWidth="1"/>
    <col min="12805" max="12805" width="13.42578125" style="1" customWidth="1"/>
    <col min="12806" max="12806" width="54.42578125" style="1" customWidth="1"/>
    <col min="12807" max="13056" width="9.140625" style="1"/>
    <col min="13057" max="13057" width="10.7109375" style="1" customWidth="1"/>
    <col min="13058" max="13058" width="10.5703125" style="1" customWidth="1"/>
    <col min="13059" max="13059" width="10.28515625" style="1" customWidth="1"/>
    <col min="13060" max="13060" width="13.28515625" style="1" customWidth="1"/>
    <col min="13061" max="13061" width="13.42578125" style="1" customWidth="1"/>
    <col min="13062" max="13062" width="54.42578125" style="1" customWidth="1"/>
    <col min="13063" max="13312" width="9.140625" style="1"/>
    <col min="13313" max="13313" width="10.7109375" style="1" customWidth="1"/>
    <col min="13314" max="13314" width="10.5703125" style="1" customWidth="1"/>
    <col min="13315" max="13315" width="10.28515625" style="1" customWidth="1"/>
    <col min="13316" max="13316" width="13.28515625" style="1" customWidth="1"/>
    <col min="13317" max="13317" width="13.42578125" style="1" customWidth="1"/>
    <col min="13318" max="13318" width="54.42578125" style="1" customWidth="1"/>
    <col min="13319" max="13568" width="9.140625" style="1"/>
    <col min="13569" max="13569" width="10.7109375" style="1" customWidth="1"/>
    <col min="13570" max="13570" width="10.5703125" style="1" customWidth="1"/>
    <col min="13571" max="13571" width="10.28515625" style="1" customWidth="1"/>
    <col min="13572" max="13572" width="13.28515625" style="1" customWidth="1"/>
    <col min="13573" max="13573" width="13.42578125" style="1" customWidth="1"/>
    <col min="13574" max="13574" width="54.42578125" style="1" customWidth="1"/>
    <col min="13575" max="13824" width="9.140625" style="1"/>
    <col min="13825" max="13825" width="10.7109375" style="1" customWidth="1"/>
    <col min="13826" max="13826" width="10.5703125" style="1" customWidth="1"/>
    <col min="13827" max="13827" width="10.28515625" style="1" customWidth="1"/>
    <col min="13828" max="13828" width="13.28515625" style="1" customWidth="1"/>
    <col min="13829" max="13829" width="13.42578125" style="1" customWidth="1"/>
    <col min="13830" max="13830" width="54.42578125" style="1" customWidth="1"/>
    <col min="13831" max="14080" width="9.140625" style="1"/>
    <col min="14081" max="14081" width="10.7109375" style="1" customWidth="1"/>
    <col min="14082" max="14082" width="10.5703125" style="1" customWidth="1"/>
    <col min="14083" max="14083" width="10.28515625" style="1" customWidth="1"/>
    <col min="14084" max="14084" width="13.28515625" style="1" customWidth="1"/>
    <col min="14085" max="14085" width="13.42578125" style="1" customWidth="1"/>
    <col min="14086" max="14086" width="54.42578125" style="1" customWidth="1"/>
    <col min="14087" max="14336" width="9.140625" style="1"/>
    <col min="14337" max="14337" width="10.7109375" style="1" customWidth="1"/>
    <col min="14338" max="14338" width="10.5703125" style="1" customWidth="1"/>
    <col min="14339" max="14339" width="10.28515625" style="1" customWidth="1"/>
    <col min="14340" max="14340" width="13.28515625" style="1" customWidth="1"/>
    <col min="14341" max="14341" width="13.42578125" style="1" customWidth="1"/>
    <col min="14342" max="14342" width="54.42578125" style="1" customWidth="1"/>
    <col min="14343" max="14592" width="9.140625" style="1"/>
    <col min="14593" max="14593" width="10.7109375" style="1" customWidth="1"/>
    <col min="14594" max="14594" width="10.5703125" style="1" customWidth="1"/>
    <col min="14595" max="14595" width="10.28515625" style="1" customWidth="1"/>
    <col min="14596" max="14596" width="13.28515625" style="1" customWidth="1"/>
    <col min="14597" max="14597" width="13.42578125" style="1" customWidth="1"/>
    <col min="14598" max="14598" width="54.42578125" style="1" customWidth="1"/>
    <col min="14599" max="14848" width="9.140625" style="1"/>
    <col min="14849" max="14849" width="10.7109375" style="1" customWidth="1"/>
    <col min="14850" max="14850" width="10.5703125" style="1" customWidth="1"/>
    <col min="14851" max="14851" width="10.28515625" style="1" customWidth="1"/>
    <col min="14852" max="14852" width="13.28515625" style="1" customWidth="1"/>
    <col min="14853" max="14853" width="13.42578125" style="1" customWidth="1"/>
    <col min="14854" max="14854" width="54.42578125" style="1" customWidth="1"/>
    <col min="14855" max="15104" width="9.140625" style="1"/>
    <col min="15105" max="15105" width="10.7109375" style="1" customWidth="1"/>
    <col min="15106" max="15106" width="10.5703125" style="1" customWidth="1"/>
    <col min="15107" max="15107" width="10.28515625" style="1" customWidth="1"/>
    <col min="15108" max="15108" width="13.28515625" style="1" customWidth="1"/>
    <col min="15109" max="15109" width="13.42578125" style="1" customWidth="1"/>
    <col min="15110" max="15110" width="54.42578125" style="1" customWidth="1"/>
    <col min="15111" max="15360" width="9.140625" style="1"/>
    <col min="15361" max="15361" width="10.7109375" style="1" customWidth="1"/>
    <col min="15362" max="15362" width="10.5703125" style="1" customWidth="1"/>
    <col min="15363" max="15363" width="10.28515625" style="1" customWidth="1"/>
    <col min="15364" max="15364" width="13.28515625" style="1" customWidth="1"/>
    <col min="15365" max="15365" width="13.42578125" style="1" customWidth="1"/>
    <col min="15366" max="15366" width="54.42578125" style="1" customWidth="1"/>
    <col min="15367" max="15616" width="9.140625" style="1"/>
    <col min="15617" max="15617" width="10.7109375" style="1" customWidth="1"/>
    <col min="15618" max="15618" width="10.5703125" style="1" customWidth="1"/>
    <col min="15619" max="15619" width="10.28515625" style="1" customWidth="1"/>
    <col min="15620" max="15620" width="13.28515625" style="1" customWidth="1"/>
    <col min="15621" max="15621" width="13.42578125" style="1" customWidth="1"/>
    <col min="15622" max="15622" width="54.42578125" style="1" customWidth="1"/>
    <col min="15623" max="15872" width="9.140625" style="1"/>
    <col min="15873" max="15873" width="10.7109375" style="1" customWidth="1"/>
    <col min="15874" max="15874" width="10.5703125" style="1" customWidth="1"/>
    <col min="15875" max="15875" width="10.28515625" style="1" customWidth="1"/>
    <col min="15876" max="15876" width="13.28515625" style="1" customWidth="1"/>
    <col min="15877" max="15877" width="13.42578125" style="1" customWidth="1"/>
    <col min="15878" max="15878" width="54.42578125" style="1" customWidth="1"/>
    <col min="15879" max="16128" width="9.140625" style="1"/>
    <col min="16129" max="16129" width="10.7109375" style="1" customWidth="1"/>
    <col min="16130" max="16130" width="10.5703125" style="1" customWidth="1"/>
    <col min="16131" max="16131" width="10.28515625" style="1" customWidth="1"/>
    <col min="16132" max="16132" width="13.28515625" style="1" customWidth="1"/>
    <col min="16133" max="16133" width="13.42578125" style="1" customWidth="1"/>
    <col min="16134" max="16134" width="54.42578125" style="1" customWidth="1"/>
    <col min="16135" max="16384" width="9.140625" style="1"/>
  </cols>
  <sheetData>
    <row r="1" spans="1:6" ht="51" customHeight="1">
      <c r="A1" s="1645"/>
      <c r="B1" s="1645"/>
      <c r="C1" s="1645"/>
      <c r="D1" s="1646"/>
      <c r="E1" s="1559" t="s">
        <v>1088</v>
      </c>
      <c r="F1" s="1559"/>
    </row>
    <row r="2" spans="1:6" ht="45.75" customHeight="1">
      <c r="A2" s="1599" t="s">
        <v>68</v>
      </c>
      <c r="B2" s="1599"/>
      <c r="C2" s="1599"/>
      <c r="D2" s="1599"/>
      <c r="E2" s="1599"/>
      <c r="F2" s="1599"/>
    </row>
    <row r="3" spans="1:6" ht="13.5" thickBot="1">
      <c r="A3" s="61"/>
      <c r="B3" s="61"/>
      <c r="C3" s="61"/>
      <c r="D3" s="61"/>
      <c r="E3" s="53"/>
      <c r="F3" s="60" t="s">
        <v>63</v>
      </c>
    </row>
    <row r="4" spans="1:6" ht="53.25" customHeight="1" thickBot="1">
      <c r="A4" s="23" t="s">
        <v>0</v>
      </c>
      <c r="B4" s="23" t="s">
        <v>1</v>
      </c>
      <c r="C4" s="23" t="s">
        <v>5</v>
      </c>
      <c r="D4" s="59" t="s">
        <v>65</v>
      </c>
      <c r="E4" s="59" t="s">
        <v>67</v>
      </c>
      <c r="F4" s="23" t="s">
        <v>66</v>
      </c>
    </row>
    <row r="5" spans="1:6" ht="83.25" customHeight="1" thickBot="1">
      <c r="A5" s="65" t="s">
        <v>7</v>
      </c>
      <c r="B5" s="65" t="s">
        <v>8</v>
      </c>
      <c r="C5" s="64" t="s">
        <v>9</v>
      </c>
      <c r="D5" s="63">
        <v>58720000</v>
      </c>
      <c r="E5" s="63">
        <v>58720000</v>
      </c>
      <c r="F5" s="62" t="s">
        <v>116</v>
      </c>
    </row>
    <row r="6" spans="1:6" ht="50.25" customHeight="1" thickBot="1">
      <c r="A6" s="1640" t="s">
        <v>64</v>
      </c>
      <c r="B6" s="1640"/>
      <c r="C6" s="58"/>
      <c r="D6" s="56">
        <f>SUM(D5:D5)</f>
        <v>58720000</v>
      </c>
      <c r="E6" s="56">
        <f>SUM(E5:E5)</f>
        <v>58720000</v>
      </c>
      <c r="F6" s="57"/>
    </row>
    <row r="23" spans="5:5">
      <c r="E23" s="174"/>
    </row>
  </sheetData>
  <mergeCells count="4">
    <mergeCell ref="A1:D1"/>
    <mergeCell ref="E1:F1"/>
    <mergeCell ref="A2:F2"/>
    <mergeCell ref="A6:B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2:I29"/>
  <sheetViews>
    <sheetView view="pageBreakPreview" zoomScaleNormal="100" zoomScaleSheetLayoutView="100" workbookViewId="0">
      <selection activeCell="A3" sqref="A3:I3"/>
    </sheetView>
  </sheetViews>
  <sheetFormatPr defaultRowHeight="12.75"/>
  <cols>
    <col min="1" max="1" width="7" style="1" customWidth="1"/>
    <col min="2" max="2" width="10.7109375" style="1" customWidth="1"/>
    <col min="3" max="3" width="17.7109375" style="1" customWidth="1"/>
    <col min="4" max="4" width="11.5703125" style="1" customWidth="1"/>
    <col min="5" max="5" width="13.42578125" style="1" customWidth="1"/>
    <col min="6" max="7" width="15.7109375" style="1" customWidth="1"/>
    <col min="8" max="8" width="16" style="1" customWidth="1"/>
    <col min="9" max="9" width="43.42578125" style="1" customWidth="1"/>
    <col min="10" max="257" width="9.140625" style="1"/>
    <col min="258" max="258" width="7" style="1" customWidth="1"/>
    <col min="259" max="259" width="10.7109375" style="1" customWidth="1"/>
    <col min="260" max="260" width="15.7109375" style="1" customWidth="1"/>
    <col min="261" max="262" width="13.42578125" style="1" customWidth="1"/>
    <col min="263" max="263" width="17.85546875" style="1" customWidth="1"/>
    <col min="264" max="264" width="16" style="1" customWidth="1"/>
    <col min="265" max="265" width="43.42578125" style="1" customWidth="1"/>
    <col min="266" max="513" width="9.140625" style="1"/>
    <col min="514" max="514" width="7" style="1" customWidth="1"/>
    <col min="515" max="515" width="10.7109375" style="1" customWidth="1"/>
    <col min="516" max="516" width="15.7109375" style="1" customWidth="1"/>
    <col min="517" max="518" width="13.42578125" style="1" customWidth="1"/>
    <col min="519" max="519" width="17.85546875" style="1" customWidth="1"/>
    <col min="520" max="520" width="16" style="1" customWidth="1"/>
    <col min="521" max="521" width="43.42578125" style="1" customWidth="1"/>
    <col min="522" max="769" width="9.140625" style="1"/>
    <col min="770" max="770" width="7" style="1" customWidth="1"/>
    <col min="771" max="771" width="10.7109375" style="1" customWidth="1"/>
    <col min="772" max="772" width="15.7109375" style="1" customWidth="1"/>
    <col min="773" max="774" width="13.42578125" style="1" customWidth="1"/>
    <col min="775" max="775" width="17.85546875" style="1" customWidth="1"/>
    <col min="776" max="776" width="16" style="1" customWidth="1"/>
    <col min="777" max="777" width="43.42578125" style="1" customWidth="1"/>
    <col min="778" max="1025" width="9.140625" style="1"/>
    <col min="1026" max="1026" width="7" style="1" customWidth="1"/>
    <col min="1027" max="1027" width="10.7109375" style="1" customWidth="1"/>
    <col min="1028" max="1028" width="15.7109375" style="1" customWidth="1"/>
    <col min="1029" max="1030" width="13.42578125" style="1" customWidth="1"/>
    <col min="1031" max="1031" width="17.85546875" style="1" customWidth="1"/>
    <col min="1032" max="1032" width="16" style="1" customWidth="1"/>
    <col min="1033" max="1033" width="43.42578125" style="1" customWidth="1"/>
    <col min="1034" max="1281" width="9.140625" style="1"/>
    <col min="1282" max="1282" width="7" style="1" customWidth="1"/>
    <col min="1283" max="1283" width="10.7109375" style="1" customWidth="1"/>
    <col min="1284" max="1284" width="15.7109375" style="1" customWidth="1"/>
    <col min="1285" max="1286" width="13.42578125" style="1" customWidth="1"/>
    <col min="1287" max="1287" width="17.85546875" style="1" customWidth="1"/>
    <col min="1288" max="1288" width="16" style="1" customWidth="1"/>
    <col min="1289" max="1289" width="43.42578125" style="1" customWidth="1"/>
    <col min="1290" max="1537" width="9.140625" style="1"/>
    <col min="1538" max="1538" width="7" style="1" customWidth="1"/>
    <col min="1539" max="1539" width="10.7109375" style="1" customWidth="1"/>
    <col min="1540" max="1540" width="15.7109375" style="1" customWidth="1"/>
    <col min="1541" max="1542" width="13.42578125" style="1" customWidth="1"/>
    <col min="1543" max="1543" width="17.85546875" style="1" customWidth="1"/>
    <col min="1544" max="1544" width="16" style="1" customWidth="1"/>
    <col min="1545" max="1545" width="43.42578125" style="1" customWidth="1"/>
    <col min="1546" max="1793" width="9.140625" style="1"/>
    <col min="1794" max="1794" width="7" style="1" customWidth="1"/>
    <col min="1795" max="1795" width="10.7109375" style="1" customWidth="1"/>
    <col min="1796" max="1796" width="15.7109375" style="1" customWidth="1"/>
    <col min="1797" max="1798" width="13.42578125" style="1" customWidth="1"/>
    <col min="1799" max="1799" width="17.85546875" style="1" customWidth="1"/>
    <col min="1800" max="1800" width="16" style="1" customWidth="1"/>
    <col min="1801" max="1801" width="43.42578125" style="1" customWidth="1"/>
    <col min="1802" max="2049" width="9.140625" style="1"/>
    <col min="2050" max="2050" width="7" style="1" customWidth="1"/>
    <col min="2051" max="2051" width="10.7109375" style="1" customWidth="1"/>
    <col min="2052" max="2052" width="15.7109375" style="1" customWidth="1"/>
    <col min="2053" max="2054" width="13.42578125" style="1" customWidth="1"/>
    <col min="2055" max="2055" width="17.85546875" style="1" customWidth="1"/>
    <col min="2056" max="2056" width="16" style="1" customWidth="1"/>
    <col min="2057" max="2057" width="43.42578125" style="1" customWidth="1"/>
    <col min="2058" max="2305" width="9.140625" style="1"/>
    <col min="2306" max="2306" width="7" style="1" customWidth="1"/>
    <col min="2307" max="2307" width="10.7109375" style="1" customWidth="1"/>
    <col min="2308" max="2308" width="15.7109375" style="1" customWidth="1"/>
    <col min="2309" max="2310" width="13.42578125" style="1" customWidth="1"/>
    <col min="2311" max="2311" width="17.85546875" style="1" customWidth="1"/>
    <col min="2312" max="2312" width="16" style="1" customWidth="1"/>
    <col min="2313" max="2313" width="43.42578125" style="1" customWidth="1"/>
    <col min="2314" max="2561" width="9.140625" style="1"/>
    <col min="2562" max="2562" width="7" style="1" customWidth="1"/>
    <col min="2563" max="2563" width="10.7109375" style="1" customWidth="1"/>
    <col min="2564" max="2564" width="15.7109375" style="1" customWidth="1"/>
    <col min="2565" max="2566" width="13.42578125" style="1" customWidth="1"/>
    <col min="2567" max="2567" width="17.85546875" style="1" customWidth="1"/>
    <col min="2568" max="2568" width="16" style="1" customWidth="1"/>
    <col min="2569" max="2569" width="43.42578125" style="1" customWidth="1"/>
    <col min="2570" max="2817" width="9.140625" style="1"/>
    <col min="2818" max="2818" width="7" style="1" customWidth="1"/>
    <col min="2819" max="2819" width="10.7109375" style="1" customWidth="1"/>
    <col min="2820" max="2820" width="15.7109375" style="1" customWidth="1"/>
    <col min="2821" max="2822" width="13.42578125" style="1" customWidth="1"/>
    <col min="2823" max="2823" width="17.85546875" style="1" customWidth="1"/>
    <col min="2824" max="2824" width="16" style="1" customWidth="1"/>
    <col min="2825" max="2825" width="43.42578125" style="1" customWidth="1"/>
    <col min="2826" max="3073" width="9.140625" style="1"/>
    <col min="3074" max="3074" width="7" style="1" customWidth="1"/>
    <col min="3075" max="3075" width="10.7109375" style="1" customWidth="1"/>
    <col min="3076" max="3076" width="15.7109375" style="1" customWidth="1"/>
    <col min="3077" max="3078" width="13.42578125" style="1" customWidth="1"/>
    <col min="3079" max="3079" width="17.85546875" style="1" customWidth="1"/>
    <col min="3080" max="3080" width="16" style="1" customWidth="1"/>
    <col min="3081" max="3081" width="43.42578125" style="1" customWidth="1"/>
    <col min="3082" max="3329" width="9.140625" style="1"/>
    <col min="3330" max="3330" width="7" style="1" customWidth="1"/>
    <col min="3331" max="3331" width="10.7109375" style="1" customWidth="1"/>
    <col min="3332" max="3332" width="15.7109375" style="1" customWidth="1"/>
    <col min="3333" max="3334" width="13.42578125" style="1" customWidth="1"/>
    <col min="3335" max="3335" width="17.85546875" style="1" customWidth="1"/>
    <col min="3336" max="3336" width="16" style="1" customWidth="1"/>
    <col min="3337" max="3337" width="43.42578125" style="1" customWidth="1"/>
    <col min="3338" max="3585" width="9.140625" style="1"/>
    <col min="3586" max="3586" width="7" style="1" customWidth="1"/>
    <col min="3587" max="3587" width="10.7109375" style="1" customWidth="1"/>
    <col min="3588" max="3588" width="15.7109375" style="1" customWidth="1"/>
    <col min="3589" max="3590" width="13.42578125" style="1" customWidth="1"/>
    <col min="3591" max="3591" width="17.85546875" style="1" customWidth="1"/>
    <col min="3592" max="3592" width="16" style="1" customWidth="1"/>
    <col min="3593" max="3593" width="43.42578125" style="1" customWidth="1"/>
    <col min="3594" max="3841" width="9.140625" style="1"/>
    <col min="3842" max="3842" width="7" style="1" customWidth="1"/>
    <col min="3843" max="3843" width="10.7109375" style="1" customWidth="1"/>
    <col min="3844" max="3844" width="15.7109375" style="1" customWidth="1"/>
    <col min="3845" max="3846" width="13.42578125" style="1" customWidth="1"/>
    <col min="3847" max="3847" width="17.85546875" style="1" customWidth="1"/>
    <col min="3848" max="3848" width="16" style="1" customWidth="1"/>
    <col min="3849" max="3849" width="43.42578125" style="1" customWidth="1"/>
    <col min="3850" max="4097" width="9.140625" style="1"/>
    <col min="4098" max="4098" width="7" style="1" customWidth="1"/>
    <col min="4099" max="4099" width="10.7109375" style="1" customWidth="1"/>
    <col min="4100" max="4100" width="15.7109375" style="1" customWidth="1"/>
    <col min="4101" max="4102" width="13.42578125" style="1" customWidth="1"/>
    <col min="4103" max="4103" width="17.85546875" style="1" customWidth="1"/>
    <col min="4104" max="4104" width="16" style="1" customWidth="1"/>
    <col min="4105" max="4105" width="43.42578125" style="1" customWidth="1"/>
    <col min="4106" max="4353" width="9.140625" style="1"/>
    <col min="4354" max="4354" width="7" style="1" customWidth="1"/>
    <col min="4355" max="4355" width="10.7109375" style="1" customWidth="1"/>
    <col min="4356" max="4356" width="15.7109375" style="1" customWidth="1"/>
    <col min="4357" max="4358" width="13.42578125" style="1" customWidth="1"/>
    <col min="4359" max="4359" width="17.85546875" style="1" customWidth="1"/>
    <col min="4360" max="4360" width="16" style="1" customWidth="1"/>
    <col min="4361" max="4361" width="43.42578125" style="1" customWidth="1"/>
    <col min="4362" max="4609" width="9.140625" style="1"/>
    <col min="4610" max="4610" width="7" style="1" customWidth="1"/>
    <col min="4611" max="4611" width="10.7109375" style="1" customWidth="1"/>
    <col min="4612" max="4612" width="15.7109375" style="1" customWidth="1"/>
    <col min="4613" max="4614" width="13.42578125" style="1" customWidth="1"/>
    <col min="4615" max="4615" width="17.85546875" style="1" customWidth="1"/>
    <col min="4616" max="4616" width="16" style="1" customWidth="1"/>
    <col min="4617" max="4617" width="43.42578125" style="1" customWidth="1"/>
    <col min="4618" max="4865" width="9.140625" style="1"/>
    <col min="4866" max="4866" width="7" style="1" customWidth="1"/>
    <col min="4867" max="4867" width="10.7109375" style="1" customWidth="1"/>
    <col min="4868" max="4868" width="15.7109375" style="1" customWidth="1"/>
    <col min="4869" max="4870" width="13.42578125" style="1" customWidth="1"/>
    <col min="4871" max="4871" width="17.85546875" style="1" customWidth="1"/>
    <col min="4872" max="4872" width="16" style="1" customWidth="1"/>
    <col min="4873" max="4873" width="43.42578125" style="1" customWidth="1"/>
    <col min="4874" max="5121" width="9.140625" style="1"/>
    <col min="5122" max="5122" width="7" style="1" customWidth="1"/>
    <col min="5123" max="5123" width="10.7109375" style="1" customWidth="1"/>
    <col min="5124" max="5124" width="15.7109375" style="1" customWidth="1"/>
    <col min="5125" max="5126" width="13.42578125" style="1" customWidth="1"/>
    <col min="5127" max="5127" width="17.85546875" style="1" customWidth="1"/>
    <col min="5128" max="5128" width="16" style="1" customWidth="1"/>
    <col min="5129" max="5129" width="43.42578125" style="1" customWidth="1"/>
    <col min="5130" max="5377" width="9.140625" style="1"/>
    <col min="5378" max="5378" width="7" style="1" customWidth="1"/>
    <col min="5379" max="5379" width="10.7109375" style="1" customWidth="1"/>
    <col min="5380" max="5380" width="15.7109375" style="1" customWidth="1"/>
    <col min="5381" max="5382" width="13.42578125" style="1" customWidth="1"/>
    <col min="5383" max="5383" width="17.85546875" style="1" customWidth="1"/>
    <col min="5384" max="5384" width="16" style="1" customWidth="1"/>
    <col min="5385" max="5385" width="43.42578125" style="1" customWidth="1"/>
    <col min="5386" max="5633" width="9.140625" style="1"/>
    <col min="5634" max="5634" width="7" style="1" customWidth="1"/>
    <col min="5635" max="5635" width="10.7109375" style="1" customWidth="1"/>
    <col min="5636" max="5636" width="15.7109375" style="1" customWidth="1"/>
    <col min="5637" max="5638" width="13.42578125" style="1" customWidth="1"/>
    <col min="5639" max="5639" width="17.85546875" style="1" customWidth="1"/>
    <col min="5640" max="5640" width="16" style="1" customWidth="1"/>
    <col min="5641" max="5641" width="43.42578125" style="1" customWidth="1"/>
    <col min="5642" max="5889" width="9.140625" style="1"/>
    <col min="5890" max="5890" width="7" style="1" customWidth="1"/>
    <col min="5891" max="5891" width="10.7109375" style="1" customWidth="1"/>
    <col min="5892" max="5892" width="15.7109375" style="1" customWidth="1"/>
    <col min="5893" max="5894" width="13.42578125" style="1" customWidth="1"/>
    <col min="5895" max="5895" width="17.85546875" style="1" customWidth="1"/>
    <col min="5896" max="5896" width="16" style="1" customWidth="1"/>
    <col min="5897" max="5897" width="43.42578125" style="1" customWidth="1"/>
    <col min="5898" max="6145" width="9.140625" style="1"/>
    <col min="6146" max="6146" width="7" style="1" customWidth="1"/>
    <col min="6147" max="6147" width="10.7109375" style="1" customWidth="1"/>
    <col min="6148" max="6148" width="15.7109375" style="1" customWidth="1"/>
    <col min="6149" max="6150" width="13.42578125" style="1" customWidth="1"/>
    <col min="6151" max="6151" width="17.85546875" style="1" customWidth="1"/>
    <col min="6152" max="6152" width="16" style="1" customWidth="1"/>
    <col min="6153" max="6153" width="43.42578125" style="1" customWidth="1"/>
    <col min="6154" max="6401" width="9.140625" style="1"/>
    <col min="6402" max="6402" width="7" style="1" customWidth="1"/>
    <col min="6403" max="6403" width="10.7109375" style="1" customWidth="1"/>
    <col min="6404" max="6404" width="15.7109375" style="1" customWidth="1"/>
    <col min="6405" max="6406" width="13.42578125" style="1" customWidth="1"/>
    <col min="6407" max="6407" width="17.85546875" style="1" customWidth="1"/>
    <col min="6408" max="6408" width="16" style="1" customWidth="1"/>
    <col min="6409" max="6409" width="43.42578125" style="1" customWidth="1"/>
    <col min="6410" max="6657" width="9.140625" style="1"/>
    <col min="6658" max="6658" width="7" style="1" customWidth="1"/>
    <col min="6659" max="6659" width="10.7109375" style="1" customWidth="1"/>
    <col min="6660" max="6660" width="15.7109375" style="1" customWidth="1"/>
    <col min="6661" max="6662" width="13.42578125" style="1" customWidth="1"/>
    <col min="6663" max="6663" width="17.85546875" style="1" customWidth="1"/>
    <col min="6664" max="6664" width="16" style="1" customWidth="1"/>
    <col min="6665" max="6665" width="43.42578125" style="1" customWidth="1"/>
    <col min="6666" max="6913" width="9.140625" style="1"/>
    <col min="6914" max="6914" width="7" style="1" customWidth="1"/>
    <col min="6915" max="6915" width="10.7109375" style="1" customWidth="1"/>
    <col min="6916" max="6916" width="15.7109375" style="1" customWidth="1"/>
    <col min="6917" max="6918" width="13.42578125" style="1" customWidth="1"/>
    <col min="6919" max="6919" width="17.85546875" style="1" customWidth="1"/>
    <col min="6920" max="6920" width="16" style="1" customWidth="1"/>
    <col min="6921" max="6921" width="43.42578125" style="1" customWidth="1"/>
    <col min="6922" max="7169" width="9.140625" style="1"/>
    <col min="7170" max="7170" width="7" style="1" customWidth="1"/>
    <col min="7171" max="7171" width="10.7109375" style="1" customWidth="1"/>
    <col min="7172" max="7172" width="15.7109375" style="1" customWidth="1"/>
    <col min="7173" max="7174" width="13.42578125" style="1" customWidth="1"/>
    <col min="7175" max="7175" width="17.85546875" style="1" customWidth="1"/>
    <col min="7176" max="7176" width="16" style="1" customWidth="1"/>
    <col min="7177" max="7177" width="43.42578125" style="1" customWidth="1"/>
    <col min="7178" max="7425" width="9.140625" style="1"/>
    <col min="7426" max="7426" width="7" style="1" customWidth="1"/>
    <col min="7427" max="7427" width="10.7109375" style="1" customWidth="1"/>
    <col min="7428" max="7428" width="15.7109375" style="1" customWidth="1"/>
    <col min="7429" max="7430" width="13.42578125" style="1" customWidth="1"/>
    <col min="7431" max="7431" width="17.85546875" style="1" customWidth="1"/>
    <col min="7432" max="7432" width="16" style="1" customWidth="1"/>
    <col min="7433" max="7433" width="43.42578125" style="1" customWidth="1"/>
    <col min="7434" max="7681" width="9.140625" style="1"/>
    <col min="7682" max="7682" width="7" style="1" customWidth="1"/>
    <col min="7683" max="7683" width="10.7109375" style="1" customWidth="1"/>
    <col min="7684" max="7684" width="15.7109375" style="1" customWidth="1"/>
    <col min="7685" max="7686" width="13.42578125" style="1" customWidth="1"/>
    <col min="7687" max="7687" width="17.85546875" style="1" customWidth="1"/>
    <col min="7688" max="7688" width="16" style="1" customWidth="1"/>
    <col min="7689" max="7689" width="43.42578125" style="1" customWidth="1"/>
    <col min="7690" max="7937" width="9.140625" style="1"/>
    <col min="7938" max="7938" width="7" style="1" customWidth="1"/>
    <col min="7939" max="7939" width="10.7109375" style="1" customWidth="1"/>
    <col min="7940" max="7940" width="15.7109375" style="1" customWidth="1"/>
    <col min="7941" max="7942" width="13.42578125" style="1" customWidth="1"/>
    <col min="7943" max="7943" width="17.85546875" style="1" customWidth="1"/>
    <col min="7944" max="7944" width="16" style="1" customWidth="1"/>
    <col min="7945" max="7945" width="43.42578125" style="1" customWidth="1"/>
    <col min="7946" max="8193" width="9.140625" style="1"/>
    <col min="8194" max="8194" width="7" style="1" customWidth="1"/>
    <col min="8195" max="8195" width="10.7109375" style="1" customWidth="1"/>
    <col min="8196" max="8196" width="15.7109375" style="1" customWidth="1"/>
    <col min="8197" max="8198" width="13.42578125" style="1" customWidth="1"/>
    <col min="8199" max="8199" width="17.85546875" style="1" customWidth="1"/>
    <col min="8200" max="8200" width="16" style="1" customWidth="1"/>
    <col min="8201" max="8201" width="43.42578125" style="1" customWidth="1"/>
    <col min="8202" max="8449" width="9.140625" style="1"/>
    <col min="8450" max="8450" width="7" style="1" customWidth="1"/>
    <col min="8451" max="8451" width="10.7109375" style="1" customWidth="1"/>
    <col min="8452" max="8452" width="15.7109375" style="1" customWidth="1"/>
    <col min="8453" max="8454" width="13.42578125" style="1" customWidth="1"/>
    <col min="8455" max="8455" width="17.85546875" style="1" customWidth="1"/>
    <col min="8456" max="8456" width="16" style="1" customWidth="1"/>
    <col min="8457" max="8457" width="43.42578125" style="1" customWidth="1"/>
    <col min="8458" max="8705" width="9.140625" style="1"/>
    <col min="8706" max="8706" width="7" style="1" customWidth="1"/>
    <col min="8707" max="8707" width="10.7109375" style="1" customWidth="1"/>
    <col min="8708" max="8708" width="15.7109375" style="1" customWidth="1"/>
    <col min="8709" max="8710" width="13.42578125" style="1" customWidth="1"/>
    <col min="8711" max="8711" width="17.85546875" style="1" customWidth="1"/>
    <col min="8712" max="8712" width="16" style="1" customWidth="1"/>
    <col min="8713" max="8713" width="43.42578125" style="1" customWidth="1"/>
    <col min="8714" max="8961" width="9.140625" style="1"/>
    <col min="8962" max="8962" width="7" style="1" customWidth="1"/>
    <col min="8963" max="8963" width="10.7109375" style="1" customWidth="1"/>
    <col min="8964" max="8964" width="15.7109375" style="1" customWidth="1"/>
    <col min="8965" max="8966" width="13.42578125" style="1" customWidth="1"/>
    <col min="8967" max="8967" width="17.85546875" style="1" customWidth="1"/>
    <col min="8968" max="8968" width="16" style="1" customWidth="1"/>
    <col min="8969" max="8969" width="43.42578125" style="1" customWidth="1"/>
    <col min="8970" max="9217" width="9.140625" style="1"/>
    <col min="9218" max="9218" width="7" style="1" customWidth="1"/>
    <col min="9219" max="9219" width="10.7109375" style="1" customWidth="1"/>
    <col min="9220" max="9220" width="15.7109375" style="1" customWidth="1"/>
    <col min="9221" max="9222" width="13.42578125" style="1" customWidth="1"/>
    <col min="9223" max="9223" width="17.85546875" style="1" customWidth="1"/>
    <col min="9224" max="9224" width="16" style="1" customWidth="1"/>
    <col min="9225" max="9225" width="43.42578125" style="1" customWidth="1"/>
    <col min="9226" max="9473" width="9.140625" style="1"/>
    <col min="9474" max="9474" width="7" style="1" customWidth="1"/>
    <col min="9475" max="9475" width="10.7109375" style="1" customWidth="1"/>
    <col min="9476" max="9476" width="15.7109375" style="1" customWidth="1"/>
    <col min="9477" max="9478" width="13.42578125" style="1" customWidth="1"/>
    <col min="9479" max="9479" width="17.85546875" style="1" customWidth="1"/>
    <col min="9480" max="9480" width="16" style="1" customWidth="1"/>
    <col min="9481" max="9481" width="43.42578125" style="1" customWidth="1"/>
    <col min="9482" max="9729" width="9.140625" style="1"/>
    <col min="9730" max="9730" width="7" style="1" customWidth="1"/>
    <col min="9731" max="9731" width="10.7109375" style="1" customWidth="1"/>
    <col min="9732" max="9732" width="15.7109375" style="1" customWidth="1"/>
    <col min="9733" max="9734" width="13.42578125" style="1" customWidth="1"/>
    <col min="9735" max="9735" width="17.85546875" style="1" customWidth="1"/>
    <col min="9736" max="9736" width="16" style="1" customWidth="1"/>
    <col min="9737" max="9737" width="43.42578125" style="1" customWidth="1"/>
    <col min="9738" max="9985" width="9.140625" style="1"/>
    <col min="9986" max="9986" width="7" style="1" customWidth="1"/>
    <col min="9987" max="9987" width="10.7109375" style="1" customWidth="1"/>
    <col min="9988" max="9988" width="15.7109375" style="1" customWidth="1"/>
    <col min="9989" max="9990" width="13.42578125" style="1" customWidth="1"/>
    <col min="9991" max="9991" width="17.85546875" style="1" customWidth="1"/>
    <col min="9992" max="9992" width="16" style="1" customWidth="1"/>
    <col min="9993" max="9993" width="43.42578125" style="1" customWidth="1"/>
    <col min="9994" max="10241" width="9.140625" style="1"/>
    <col min="10242" max="10242" width="7" style="1" customWidth="1"/>
    <col min="10243" max="10243" width="10.7109375" style="1" customWidth="1"/>
    <col min="10244" max="10244" width="15.7109375" style="1" customWidth="1"/>
    <col min="10245" max="10246" width="13.42578125" style="1" customWidth="1"/>
    <col min="10247" max="10247" width="17.85546875" style="1" customWidth="1"/>
    <col min="10248" max="10248" width="16" style="1" customWidth="1"/>
    <col min="10249" max="10249" width="43.42578125" style="1" customWidth="1"/>
    <col min="10250" max="10497" width="9.140625" style="1"/>
    <col min="10498" max="10498" width="7" style="1" customWidth="1"/>
    <col min="10499" max="10499" width="10.7109375" style="1" customWidth="1"/>
    <col min="10500" max="10500" width="15.7109375" style="1" customWidth="1"/>
    <col min="10501" max="10502" width="13.42578125" style="1" customWidth="1"/>
    <col min="10503" max="10503" width="17.85546875" style="1" customWidth="1"/>
    <col min="10504" max="10504" width="16" style="1" customWidth="1"/>
    <col min="10505" max="10505" width="43.42578125" style="1" customWidth="1"/>
    <col min="10506" max="10753" width="9.140625" style="1"/>
    <col min="10754" max="10754" width="7" style="1" customWidth="1"/>
    <col min="10755" max="10755" width="10.7109375" style="1" customWidth="1"/>
    <col min="10756" max="10756" width="15.7109375" style="1" customWidth="1"/>
    <col min="10757" max="10758" width="13.42578125" style="1" customWidth="1"/>
    <col min="10759" max="10759" width="17.85546875" style="1" customWidth="1"/>
    <col min="10760" max="10760" width="16" style="1" customWidth="1"/>
    <col min="10761" max="10761" width="43.42578125" style="1" customWidth="1"/>
    <col min="10762" max="11009" width="9.140625" style="1"/>
    <col min="11010" max="11010" width="7" style="1" customWidth="1"/>
    <col min="11011" max="11011" width="10.7109375" style="1" customWidth="1"/>
    <col min="11012" max="11012" width="15.7109375" style="1" customWidth="1"/>
    <col min="11013" max="11014" width="13.42578125" style="1" customWidth="1"/>
    <col min="11015" max="11015" width="17.85546875" style="1" customWidth="1"/>
    <col min="11016" max="11016" width="16" style="1" customWidth="1"/>
    <col min="11017" max="11017" width="43.42578125" style="1" customWidth="1"/>
    <col min="11018" max="11265" width="9.140625" style="1"/>
    <col min="11266" max="11266" width="7" style="1" customWidth="1"/>
    <col min="11267" max="11267" width="10.7109375" style="1" customWidth="1"/>
    <col min="11268" max="11268" width="15.7109375" style="1" customWidth="1"/>
    <col min="11269" max="11270" width="13.42578125" style="1" customWidth="1"/>
    <col min="11271" max="11271" width="17.85546875" style="1" customWidth="1"/>
    <col min="11272" max="11272" width="16" style="1" customWidth="1"/>
    <col min="11273" max="11273" width="43.42578125" style="1" customWidth="1"/>
    <col min="11274" max="11521" width="9.140625" style="1"/>
    <col min="11522" max="11522" width="7" style="1" customWidth="1"/>
    <col min="11523" max="11523" width="10.7109375" style="1" customWidth="1"/>
    <col min="11524" max="11524" width="15.7109375" style="1" customWidth="1"/>
    <col min="11525" max="11526" width="13.42578125" style="1" customWidth="1"/>
    <col min="11527" max="11527" width="17.85546875" style="1" customWidth="1"/>
    <col min="11528" max="11528" width="16" style="1" customWidth="1"/>
    <col min="11529" max="11529" width="43.42578125" style="1" customWidth="1"/>
    <col min="11530" max="11777" width="9.140625" style="1"/>
    <col min="11778" max="11778" width="7" style="1" customWidth="1"/>
    <col min="11779" max="11779" width="10.7109375" style="1" customWidth="1"/>
    <col min="11780" max="11780" width="15.7109375" style="1" customWidth="1"/>
    <col min="11781" max="11782" width="13.42578125" style="1" customWidth="1"/>
    <col min="11783" max="11783" width="17.85546875" style="1" customWidth="1"/>
    <col min="11784" max="11784" width="16" style="1" customWidth="1"/>
    <col min="11785" max="11785" width="43.42578125" style="1" customWidth="1"/>
    <col min="11786" max="12033" width="9.140625" style="1"/>
    <col min="12034" max="12034" width="7" style="1" customWidth="1"/>
    <col min="12035" max="12035" width="10.7109375" style="1" customWidth="1"/>
    <col min="12036" max="12036" width="15.7109375" style="1" customWidth="1"/>
    <col min="12037" max="12038" width="13.42578125" style="1" customWidth="1"/>
    <col min="12039" max="12039" width="17.85546875" style="1" customWidth="1"/>
    <col min="12040" max="12040" width="16" style="1" customWidth="1"/>
    <col min="12041" max="12041" width="43.42578125" style="1" customWidth="1"/>
    <col min="12042" max="12289" width="9.140625" style="1"/>
    <col min="12290" max="12290" width="7" style="1" customWidth="1"/>
    <col min="12291" max="12291" width="10.7109375" style="1" customWidth="1"/>
    <col min="12292" max="12292" width="15.7109375" style="1" customWidth="1"/>
    <col min="12293" max="12294" width="13.42578125" style="1" customWidth="1"/>
    <col min="12295" max="12295" width="17.85546875" style="1" customWidth="1"/>
    <col min="12296" max="12296" width="16" style="1" customWidth="1"/>
    <col min="12297" max="12297" width="43.42578125" style="1" customWidth="1"/>
    <col min="12298" max="12545" width="9.140625" style="1"/>
    <col min="12546" max="12546" width="7" style="1" customWidth="1"/>
    <col min="12547" max="12547" width="10.7109375" style="1" customWidth="1"/>
    <col min="12548" max="12548" width="15.7109375" style="1" customWidth="1"/>
    <col min="12549" max="12550" width="13.42578125" style="1" customWidth="1"/>
    <col min="12551" max="12551" width="17.85546875" style="1" customWidth="1"/>
    <col min="12552" max="12552" width="16" style="1" customWidth="1"/>
    <col min="12553" max="12553" width="43.42578125" style="1" customWidth="1"/>
    <col min="12554" max="12801" width="9.140625" style="1"/>
    <col min="12802" max="12802" width="7" style="1" customWidth="1"/>
    <col min="12803" max="12803" width="10.7109375" style="1" customWidth="1"/>
    <col min="12804" max="12804" width="15.7109375" style="1" customWidth="1"/>
    <col min="12805" max="12806" width="13.42578125" style="1" customWidth="1"/>
    <col min="12807" max="12807" width="17.85546875" style="1" customWidth="1"/>
    <col min="12808" max="12808" width="16" style="1" customWidth="1"/>
    <col min="12809" max="12809" width="43.42578125" style="1" customWidth="1"/>
    <col min="12810" max="13057" width="9.140625" style="1"/>
    <col min="13058" max="13058" width="7" style="1" customWidth="1"/>
    <col min="13059" max="13059" width="10.7109375" style="1" customWidth="1"/>
    <col min="13060" max="13060" width="15.7109375" style="1" customWidth="1"/>
    <col min="13061" max="13062" width="13.42578125" style="1" customWidth="1"/>
    <col min="13063" max="13063" width="17.85546875" style="1" customWidth="1"/>
    <col min="13064" max="13064" width="16" style="1" customWidth="1"/>
    <col min="13065" max="13065" width="43.42578125" style="1" customWidth="1"/>
    <col min="13066" max="13313" width="9.140625" style="1"/>
    <col min="13314" max="13314" width="7" style="1" customWidth="1"/>
    <col min="13315" max="13315" width="10.7109375" style="1" customWidth="1"/>
    <col min="13316" max="13316" width="15.7109375" style="1" customWidth="1"/>
    <col min="13317" max="13318" width="13.42578125" style="1" customWidth="1"/>
    <col min="13319" max="13319" width="17.85546875" style="1" customWidth="1"/>
    <col min="13320" max="13320" width="16" style="1" customWidth="1"/>
    <col min="13321" max="13321" width="43.42578125" style="1" customWidth="1"/>
    <col min="13322" max="13569" width="9.140625" style="1"/>
    <col min="13570" max="13570" width="7" style="1" customWidth="1"/>
    <col min="13571" max="13571" width="10.7109375" style="1" customWidth="1"/>
    <col min="13572" max="13572" width="15.7109375" style="1" customWidth="1"/>
    <col min="13573" max="13574" width="13.42578125" style="1" customWidth="1"/>
    <col min="13575" max="13575" width="17.85546875" style="1" customWidth="1"/>
    <col min="13576" max="13576" width="16" style="1" customWidth="1"/>
    <col min="13577" max="13577" width="43.42578125" style="1" customWidth="1"/>
    <col min="13578" max="13825" width="9.140625" style="1"/>
    <col min="13826" max="13826" width="7" style="1" customWidth="1"/>
    <col min="13827" max="13827" width="10.7109375" style="1" customWidth="1"/>
    <col min="13828" max="13828" width="15.7109375" style="1" customWidth="1"/>
    <col min="13829" max="13830" width="13.42578125" style="1" customWidth="1"/>
    <col min="13831" max="13831" width="17.85546875" style="1" customWidth="1"/>
    <col min="13832" max="13832" width="16" style="1" customWidth="1"/>
    <col min="13833" max="13833" width="43.42578125" style="1" customWidth="1"/>
    <col min="13834" max="14081" width="9.140625" style="1"/>
    <col min="14082" max="14082" width="7" style="1" customWidth="1"/>
    <col min="14083" max="14083" width="10.7109375" style="1" customWidth="1"/>
    <col min="14084" max="14084" width="15.7109375" style="1" customWidth="1"/>
    <col min="14085" max="14086" width="13.42578125" style="1" customWidth="1"/>
    <col min="14087" max="14087" width="17.85546875" style="1" customWidth="1"/>
    <col min="14088" max="14088" width="16" style="1" customWidth="1"/>
    <col min="14089" max="14089" width="43.42578125" style="1" customWidth="1"/>
    <col min="14090" max="14337" width="9.140625" style="1"/>
    <col min="14338" max="14338" width="7" style="1" customWidth="1"/>
    <col min="14339" max="14339" width="10.7109375" style="1" customWidth="1"/>
    <col min="14340" max="14340" width="15.7109375" style="1" customWidth="1"/>
    <col min="14341" max="14342" width="13.42578125" style="1" customWidth="1"/>
    <col min="14343" max="14343" width="17.85546875" style="1" customWidth="1"/>
    <col min="14344" max="14344" width="16" style="1" customWidth="1"/>
    <col min="14345" max="14345" width="43.42578125" style="1" customWidth="1"/>
    <col min="14346" max="14593" width="9.140625" style="1"/>
    <col min="14594" max="14594" width="7" style="1" customWidth="1"/>
    <col min="14595" max="14595" width="10.7109375" style="1" customWidth="1"/>
    <col min="14596" max="14596" width="15.7109375" style="1" customWidth="1"/>
    <col min="14597" max="14598" width="13.42578125" style="1" customWidth="1"/>
    <col min="14599" max="14599" width="17.85546875" style="1" customWidth="1"/>
    <col min="14600" max="14600" width="16" style="1" customWidth="1"/>
    <col min="14601" max="14601" width="43.42578125" style="1" customWidth="1"/>
    <col min="14602" max="14849" width="9.140625" style="1"/>
    <col min="14850" max="14850" width="7" style="1" customWidth="1"/>
    <col min="14851" max="14851" width="10.7109375" style="1" customWidth="1"/>
    <col min="14852" max="14852" width="15.7109375" style="1" customWidth="1"/>
    <col min="14853" max="14854" width="13.42578125" style="1" customWidth="1"/>
    <col min="14855" max="14855" width="17.85546875" style="1" customWidth="1"/>
    <col min="14856" max="14856" width="16" style="1" customWidth="1"/>
    <col min="14857" max="14857" width="43.42578125" style="1" customWidth="1"/>
    <col min="14858" max="15105" width="9.140625" style="1"/>
    <col min="15106" max="15106" width="7" style="1" customWidth="1"/>
    <col min="15107" max="15107" width="10.7109375" style="1" customWidth="1"/>
    <col min="15108" max="15108" width="15.7109375" style="1" customWidth="1"/>
    <col min="15109" max="15110" width="13.42578125" style="1" customWidth="1"/>
    <col min="15111" max="15111" width="17.85546875" style="1" customWidth="1"/>
    <col min="15112" max="15112" width="16" style="1" customWidth="1"/>
    <col min="15113" max="15113" width="43.42578125" style="1" customWidth="1"/>
    <col min="15114" max="15361" width="9.140625" style="1"/>
    <col min="15362" max="15362" width="7" style="1" customWidth="1"/>
    <col min="15363" max="15363" width="10.7109375" style="1" customWidth="1"/>
    <col min="15364" max="15364" width="15.7109375" style="1" customWidth="1"/>
    <col min="15365" max="15366" width="13.42578125" style="1" customWidth="1"/>
    <col min="15367" max="15367" width="17.85546875" style="1" customWidth="1"/>
    <col min="15368" max="15368" width="16" style="1" customWidth="1"/>
    <col min="15369" max="15369" width="43.42578125" style="1" customWidth="1"/>
    <col min="15370" max="15617" width="9.140625" style="1"/>
    <col min="15618" max="15618" width="7" style="1" customWidth="1"/>
    <col min="15619" max="15619" width="10.7109375" style="1" customWidth="1"/>
    <col min="15620" max="15620" width="15.7109375" style="1" customWidth="1"/>
    <col min="15621" max="15622" width="13.42578125" style="1" customWidth="1"/>
    <col min="15623" max="15623" width="17.85546875" style="1" customWidth="1"/>
    <col min="15624" max="15624" width="16" style="1" customWidth="1"/>
    <col min="15625" max="15625" width="43.42578125" style="1" customWidth="1"/>
    <col min="15626" max="15873" width="9.140625" style="1"/>
    <col min="15874" max="15874" width="7" style="1" customWidth="1"/>
    <col min="15875" max="15875" width="10.7109375" style="1" customWidth="1"/>
    <col min="15876" max="15876" width="15.7109375" style="1" customWidth="1"/>
    <col min="15877" max="15878" width="13.42578125" style="1" customWidth="1"/>
    <col min="15879" max="15879" width="17.85546875" style="1" customWidth="1"/>
    <col min="15880" max="15880" width="16" style="1" customWidth="1"/>
    <col min="15881" max="15881" width="43.42578125" style="1" customWidth="1"/>
    <col min="15882" max="16129" width="9.140625" style="1"/>
    <col min="16130" max="16130" width="7" style="1" customWidth="1"/>
    <col min="16131" max="16131" width="10.7109375" style="1" customWidth="1"/>
    <col min="16132" max="16132" width="15.7109375" style="1" customWidth="1"/>
    <col min="16133" max="16134" width="13.42578125" style="1" customWidth="1"/>
    <col min="16135" max="16135" width="17.85546875" style="1" customWidth="1"/>
    <col min="16136" max="16136" width="16" style="1" customWidth="1"/>
    <col min="16137" max="16137" width="43.42578125" style="1" customWidth="1"/>
    <col min="16138" max="16384" width="9.140625" style="1"/>
  </cols>
  <sheetData>
    <row r="2" spans="1:9" ht="63.75" customHeight="1">
      <c r="A2" s="61"/>
      <c r="B2" s="61"/>
      <c r="C2" s="80"/>
      <c r="D2" s="80"/>
      <c r="E2" s="79"/>
      <c r="F2" s="79"/>
      <c r="G2" s="79"/>
      <c r="H2" s="1559" t="s">
        <v>1089</v>
      </c>
      <c r="I2" s="1559"/>
    </row>
    <row r="3" spans="1:9" ht="50.25" customHeight="1">
      <c r="A3" s="1647" t="s">
        <v>132</v>
      </c>
      <c r="B3" s="1647"/>
      <c r="C3" s="1647"/>
      <c r="D3" s="1647"/>
      <c r="E3" s="1647"/>
      <c r="F3" s="1647"/>
      <c r="G3" s="1647"/>
      <c r="H3" s="1647"/>
      <c r="I3" s="1647"/>
    </row>
    <row r="4" spans="1:9" ht="15.75" thickBot="1">
      <c r="A4" s="8"/>
      <c r="B4" s="8"/>
      <c r="C4" s="8"/>
      <c r="D4" s="8"/>
      <c r="E4" s="8"/>
      <c r="F4" s="8"/>
      <c r="G4" s="8"/>
      <c r="H4" s="8"/>
      <c r="I4" s="7" t="s">
        <v>24</v>
      </c>
    </row>
    <row r="5" spans="1:9" ht="24.75" customHeight="1" thickBot="1">
      <c r="A5" s="1648" t="s">
        <v>0</v>
      </c>
      <c r="B5" s="1649" t="s">
        <v>1</v>
      </c>
      <c r="C5" s="1650" t="s">
        <v>74</v>
      </c>
      <c r="D5" s="1651" t="s">
        <v>5</v>
      </c>
      <c r="E5" s="1651" t="s">
        <v>64</v>
      </c>
      <c r="F5" s="1652" t="s">
        <v>62</v>
      </c>
      <c r="G5" s="1653"/>
      <c r="H5" s="1651" t="s">
        <v>73</v>
      </c>
      <c r="I5" s="1648" t="s">
        <v>72</v>
      </c>
    </row>
    <row r="6" spans="1:9" ht="15" customHeight="1" thickBot="1">
      <c r="A6" s="1648"/>
      <c r="B6" s="1649"/>
      <c r="C6" s="1650"/>
      <c r="D6" s="1651"/>
      <c r="E6" s="1651"/>
      <c r="F6" s="1654" t="s">
        <v>23</v>
      </c>
      <c r="G6" s="1654" t="s">
        <v>22</v>
      </c>
      <c r="H6" s="1651"/>
      <c r="I6" s="1648"/>
    </row>
    <row r="7" spans="1:9" ht="15" customHeight="1" thickBot="1">
      <c r="A7" s="1648"/>
      <c r="B7" s="1649"/>
      <c r="C7" s="1650"/>
      <c r="D7" s="1651"/>
      <c r="E7" s="1651"/>
      <c r="F7" s="1655"/>
      <c r="G7" s="1655"/>
      <c r="H7" s="1651"/>
      <c r="I7" s="1648"/>
    </row>
    <row r="8" spans="1:9" ht="32.25" customHeight="1" thickBot="1">
      <c r="A8" s="1659" t="s">
        <v>10</v>
      </c>
      <c r="B8" s="1662" t="s">
        <v>71</v>
      </c>
      <c r="C8" s="1663"/>
      <c r="D8" s="77"/>
      <c r="E8" s="77">
        <f>SUM(E9)</f>
        <v>400000</v>
      </c>
      <c r="F8" s="78">
        <f>SUM(F9)</f>
        <v>400000</v>
      </c>
      <c r="G8" s="77">
        <f>SUM(G9)</f>
        <v>0</v>
      </c>
      <c r="H8" s="76"/>
      <c r="I8" s="75"/>
    </row>
    <row r="9" spans="1:9" ht="78.75" customHeight="1" thickBot="1">
      <c r="A9" s="1659"/>
      <c r="B9" s="74" t="s">
        <v>11</v>
      </c>
      <c r="C9" s="73" t="s">
        <v>12</v>
      </c>
      <c r="D9" s="72">
        <v>2710</v>
      </c>
      <c r="E9" s="70">
        <f>SUM(F9:G9)</f>
        <v>400000</v>
      </c>
      <c r="F9" s="71">
        <v>400000</v>
      </c>
      <c r="G9" s="70">
        <v>0</v>
      </c>
      <c r="H9" s="69" t="s">
        <v>70</v>
      </c>
      <c r="I9" s="68" t="s">
        <v>115</v>
      </c>
    </row>
    <row r="10" spans="1:9" ht="78.75" customHeight="1" thickBot="1">
      <c r="A10" s="1658" t="s">
        <v>677</v>
      </c>
      <c r="B10" s="1656" t="s">
        <v>897</v>
      </c>
      <c r="C10" s="1657"/>
      <c r="D10" s="192"/>
      <c r="E10" s="77">
        <f>SUM(E11:E12)</f>
        <v>61282</v>
      </c>
      <c r="F10" s="77">
        <f t="shared" ref="F10:G10" si="0">SUM(F11:F12)</f>
        <v>20000</v>
      </c>
      <c r="G10" s="77">
        <f t="shared" si="0"/>
        <v>41282</v>
      </c>
      <c r="H10" s="193"/>
      <c r="I10" s="194"/>
    </row>
    <row r="11" spans="1:9" ht="78.75" customHeight="1">
      <c r="A11" s="1659"/>
      <c r="B11" s="1664" t="s">
        <v>679</v>
      </c>
      <c r="C11" s="1666" t="s">
        <v>680</v>
      </c>
      <c r="D11" s="72">
        <v>2710</v>
      </c>
      <c r="E11" s="70">
        <f>SUM(F11:G11)</f>
        <v>20000</v>
      </c>
      <c r="F11" s="71">
        <v>20000</v>
      </c>
      <c r="G11" s="70">
        <v>0</v>
      </c>
      <c r="H11" s="69" t="s">
        <v>910</v>
      </c>
      <c r="I11" s="68" t="s">
        <v>911</v>
      </c>
    </row>
    <row r="12" spans="1:9" ht="78.75" customHeight="1" thickBot="1">
      <c r="A12" s="1660"/>
      <c r="B12" s="1665"/>
      <c r="C12" s="1667"/>
      <c r="D12" s="542">
        <v>6300</v>
      </c>
      <c r="E12" s="543">
        <f>SUM(F12:G12)</f>
        <v>41282</v>
      </c>
      <c r="F12" s="544">
        <v>0</v>
      </c>
      <c r="G12" s="543">
        <v>41282</v>
      </c>
      <c r="H12" s="545" t="s">
        <v>910</v>
      </c>
      <c r="I12" s="546" t="s">
        <v>912</v>
      </c>
    </row>
    <row r="13" spans="1:9" ht="48" customHeight="1" thickBot="1">
      <c r="A13" s="1658" t="s">
        <v>13</v>
      </c>
      <c r="B13" s="1656" t="s">
        <v>20</v>
      </c>
      <c r="C13" s="1657"/>
      <c r="D13" s="192"/>
      <c r="E13" s="56">
        <f>SUM(E14:E15)</f>
        <v>600000</v>
      </c>
      <c r="F13" s="195">
        <f>SUM(F14:F15)</f>
        <v>400000</v>
      </c>
      <c r="G13" s="56">
        <f>SUM(G14:G15)</f>
        <v>200000</v>
      </c>
      <c r="H13" s="193"/>
      <c r="I13" s="194"/>
    </row>
    <row r="14" spans="1:9" ht="75.75" customHeight="1" thickBot="1">
      <c r="A14" s="1659"/>
      <c r="B14" s="187" t="s">
        <v>126</v>
      </c>
      <c r="C14" s="197" t="s">
        <v>130</v>
      </c>
      <c r="D14" s="72">
        <v>2710</v>
      </c>
      <c r="E14" s="70">
        <f>SUM(F14:G14)</f>
        <v>400000</v>
      </c>
      <c r="F14" s="71">
        <v>400000</v>
      </c>
      <c r="G14" s="70">
        <v>0</v>
      </c>
      <c r="H14" s="69" t="s">
        <v>127</v>
      </c>
      <c r="I14" s="68" t="s">
        <v>1072</v>
      </c>
    </row>
    <row r="15" spans="1:9" ht="73.5" customHeight="1" thickBot="1">
      <c r="A15" s="1660"/>
      <c r="B15" s="196" t="s">
        <v>128</v>
      </c>
      <c r="C15" s="198" t="s">
        <v>129</v>
      </c>
      <c r="D15" s="188">
        <v>6300</v>
      </c>
      <c r="E15" s="189">
        <f>SUM(F15:G15)</f>
        <v>200000</v>
      </c>
      <c r="F15" s="190">
        <v>0</v>
      </c>
      <c r="G15" s="189">
        <v>200000</v>
      </c>
      <c r="H15" s="191" t="s">
        <v>131</v>
      </c>
      <c r="I15" s="85" t="s">
        <v>133</v>
      </c>
    </row>
    <row r="16" spans="1:9" ht="44.25" customHeight="1" thickBot="1">
      <c r="A16" s="1661" t="s">
        <v>69</v>
      </c>
      <c r="B16" s="1661"/>
      <c r="C16" s="1661"/>
      <c r="D16" s="67"/>
      <c r="E16" s="67">
        <f>SUM(E8,E10,E13)</f>
        <v>1061282</v>
      </c>
      <c r="F16" s="67">
        <f t="shared" ref="F16:G16" si="1">SUM(F8,F10,F13)</f>
        <v>820000</v>
      </c>
      <c r="G16" s="67">
        <f t="shared" si="1"/>
        <v>241282</v>
      </c>
      <c r="H16" s="67">
        <f t="shared" ref="H16" si="2">SUM(H8)</f>
        <v>0</v>
      </c>
      <c r="I16" s="66"/>
    </row>
    <row r="29" spans="4:4">
      <c r="D29" s="174"/>
    </row>
  </sheetData>
  <mergeCells count="21">
    <mergeCell ref="B13:C13"/>
    <mergeCell ref="A13:A15"/>
    <mergeCell ref="A16:C16"/>
    <mergeCell ref="A8:A9"/>
    <mergeCell ref="B8:C8"/>
    <mergeCell ref="B10:C10"/>
    <mergeCell ref="B11:B12"/>
    <mergeCell ref="C11:C12"/>
    <mergeCell ref="A10:A12"/>
    <mergeCell ref="H2:I2"/>
    <mergeCell ref="A3:I3"/>
    <mergeCell ref="A5:A7"/>
    <mergeCell ref="B5:B7"/>
    <mergeCell ref="C5:C7"/>
    <mergeCell ref="E5:E7"/>
    <mergeCell ref="H5:H7"/>
    <mergeCell ref="I5:I7"/>
    <mergeCell ref="D5:D7"/>
    <mergeCell ref="F5:G5"/>
    <mergeCell ref="F6:F7"/>
    <mergeCell ref="G6:G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Strona &amp;P z &amp;N</oddFooter>
  </headerFooter>
  <rowBreaks count="1" manualBreakCount="1">
    <brk id="12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I23"/>
  <sheetViews>
    <sheetView view="pageBreakPreview" zoomScaleNormal="100" zoomScaleSheetLayoutView="100" workbookViewId="0">
      <selection activeCell="J2" sqref="J2"/>
    </sheetView>
  </sheetViews>
  <sheetFormatPr defaultRowHeight="12.75"/>
  <cols>
    <col min="1" max="1" width="8.28515625" style="1" customWidth="1"/>
    <col min="2" max="2" width="10.5703125" style="1" customWidth="1"/>
    <col min="3" max="3" width="15.140625" style="1" customWidth="1"/>
    <col min="4" max="4" width="12.28515625" style="1" customWidth="1"/>
    <col min="5" max="6" width="12" style="1" customWidth="1"/>
    <col min="7" max="8" width="13.85546875" style="1" customWidth="1"/>
    <col min="9" max="9" width="51.5703125" style="1" customWidth="1"/>
    <col min="10" max="257" width="9.140625" style="1"/>
    <col min="258" max="258" width="8.28515625" style="1" customWidth="1"/>
    <col min="259" max="259" width="10.5703125" style="1" customWidth="1"/>
    <col min="260" max="260" width="15.140625" style="1" customWidth="1"/>
    <col min="261" max="262" width="12" style="1" customWidth="1"/>
    <col min="263" max="264" width="13.85546875" style="1" customWidth="1"/>
    <col min="265" max="265" width="51.5703125" style="1" customWidth="1"/>
    <col min="266" max="513" width="9.140625" style="1"/>
    <col min="514" max="514" width="8.28515625" style="1" customWidth="1"/>
    <col min="515" max="515" width="10.5703125" style="1" customWidth="1"/>
    <col min="516" max="516" width="15.140625" style="1" customWidth="1"/>
    <col min="517" max="518" width="12" style="1" customWidth="1"/>
    <col min="519" max="520" width="13.85546875" style="1" customWidth="1"/>
    <col min="521" max="521" width="51.5703125" style="1" customWidth="1"/>
    <col min="522" max="769" width="9.140625" style="1"/>
    <col min="770" max="770" width="8.28515625" style="1" customWidth="1"/>
    <col min="771" max="771" width="10.5703125" style="1" customWidth="1"/>
    <col min="772" max="772" width="15.140625" style="1" customWidth="1"/>
    <col min="773" max="774" width="12" style="1" customWidth="1"/>
    <col min="775" max="776" width="13.85546875" style="1" customWidth="1"/>
    <col min="777" max="777" width="51.5703125" style="1" customWidth="1"/>
    <col min="778" max="1025" width="9.140625" style="1"/>
    <col min="1026" max="1026" width="8.28515625" style="1" customWidth="1"/>
    <col min="1027" max="1027" width="10.5703125" style="1" customWidth="1"/>
    <col min="1028" max="1028" width="15.140625" style="1" customWidth="1"/>
    <col min="1029" max="1030" width="12" style="1" customWidth="1"/>
    <col min="1031" max="1032" width="13.85546875" style="1" customWidth="1"/>
    <col min="1033" max="1033" width="51.5703125" style="1" customWidth="1"/>
    <col min="1034" max="1281" width="9.140625" style="1"/>
    <col min="1282" max="1282" width="8.28515625" style="1" customWidth="1"/>
    <col min="1283" max="1283" width="10.5703125" style="1" customWidth="1"/>
    <col min="1284" max="1284" width="15.140625" style="1" customWidth="1"/>
    <col min="1285" max="1286" width="12" style="1" customWidth="1"/>
    <col min="1287" max="1288" width="13.85546875" style="1" customWidth="1"/>
    <col min="1289" max="1289" width="51.5703125" style="1" customWidth="1"/>
    <col min="1290" max="1537" width="9.140625" style="1"/>
    <col min="1538" max="1538" width="8.28515625" style="1" customWidth="1"/>
    <col min="1539" max="1539" width="10.5703125" style="1" customWidth="1"/>
    <col min="1540" max="1540" width="15.140625" style="1" customWidth="1"/>
    <col min="1541" max="1542" width="12" style="1" customWidth="1"/>
    <col min="1543" max="1544" width="13.85546875" style="1" customWidth="1"/>
    <col min="1545" max="1545" width="51.5703125" style="1" customWidth="1"/>
    <col min="1546" max="1793" width="9.140625" style="1"/>
    <col min="1794" max="1794" width="8.28515625" style="1" customWidth="1"/>
    <col min="1795" max="1795" width="10.5703125" style="1" customWidth="1"/>
    <col min="1796" max="1796" width="15.140625" style="1" customWidth="1"/>
    <col min="1797" max="1798" width="12" style="1" customWidth="1"/>
    <col min="1799" max="1800" width="13.85546875" style="1" customWidth="1"/>
    <col min="1801" max="1801" width="51.5703125" style="1" customWidth="1"/>
    <col min="1802" max="2049" width="9.140625" style="1"/>
    <col min="2050" max="2050" width="8.28515625" style="1" customWidth="1"/>
    <col min="2051" max="2051" width="10.5703125" style="1" customWidth="1"/>
    <col min="2052" max="2052" width="15.140625" style="1" customWidth="1"/>
    <col min="2053" max="2054" width="12" style="1" customWidth="1"/>
    <col min="2055" max="2056" width="13.85546875" style="1" customWidth="1"/>
    <col min="2057" max="2057" width="51.5703125" style="1" customWidth="1"/>
    <col min="2058" max="2305" width="9.140625" style="1"/>
    <col min="2306" max="2306" width="8.28515625" style="1" customWidth="1"/>
    <col min="2307" max="2307" width="10.5703125" style="1" customWidth="1"/>
    <col min="2308" max="2308" width="15.140625" style="1" customWidth="1"/>
    <col min="2309" max="2310" width="12" style="1" customWidth="1"/>
    <col min="2311" max="2312" width="13.85546875" style="1" customWidth="1"/>
    <col min="2313" max="2313" width="51.5703125" style="1" customWidth="1"/>
    <col min="2314" max="2561" width="9.140625" style="1"/>
    <col min="2562" max="2562" width="8.28515625" style="1" customWidth="1"/>
    <col min="2563" max="2563" width="10.5703125" style="1" customWidth="1"/>
    <col min="2564" max="2564" width="15.140625" style="1" customWidth="1"/>
    <col min="2565" max="2566" width="12" style="1" customWidth="1"/>
    <col min="2567" max="2568" width="13.85546875" style="1" customWidth="1"/>
    <col min="2569" max="2569" width="51.5703125" style="1" customWidth="1"/>
    <col min="2570" max="2817" width="9.140625" style="1"/>
    <col min="2818" max="2818" width="8.28515625" style="1" customWidth="1"/>
    <col min="2819" max="2819" width="10.5703125" style="1" customWidth="1"/>
    <col min="2820" max="2820" width="15.140625" style="1" customWidth="1"/>
    <col min="2821" max="2822" width="12" style="1" customWidth="1"/>
    <col min="2823" max="2824" width="13.85546875" style="1" customWidth="1"/>
    <col min="2825" max="2825" width="51.5703125" style="1" customWidth="1"/>
    <col min="2826" max="3073" width="9.140625" style="1"/>
    <col min="3074" max="3074" width="8.28515625" style="1" customWidth="1"/>
    <col min="3075" max="3075" width="10.5703125" style="1" customWidth="1"/>
    <col min="3076" max="3076" width="15.140625" style="1" customWidth="1"/>
    <col min="3077" max="3078" width="12" style="1" customWidth="1"/>
    <col min="3079" max="3080" width="13.85546875" style="1" customWidth="1"/>
    <col min="3081" max="3081" width="51.5703125" style="1" customWidth="1"/>
    <col min="3082" max="3329" width="9.140625" style="1"/>
    <col min="3330" max="3330" width="8.28515625" style="1" customWidth="1"/>
    <col min="3331" max="3331" width="10.5703125" style="1" customWidth="1"/>
    <col min="3332" max="3332" width="15.140625" style="1" customWidth="1"/>
    <col min="3333" max="3334" width="12" style="1" customWidth="1"/>
    <col min="3335" max="3336" width="13.85546875" style="1" customWidth="1"/>
    <col min="3337" max="3337" width="51.5703125" style="1" customWidth="1"/>
    <col min="3338" max="3585" width="9.140625" style="1"/>
    <col min="3586" max="3586" width="8.28515625" style="1" customWidth="1"/>
    <col min="3587" max="3587" width="10.5703125" style="1" customWidth="1"/>
    <col min="3588" max="3588" width="15.140625" style="1" customWidth="1"/>
    <col min="3589" max="3590" width="12" style="1" customWidth="1"/>
    <col min="3591" max="3592" width="13.85546875" style="1" customWidth="1"/>
    <col min="3593" max="3593" width="51.5703125" style="1" customWidth="1"/>
    <col min="3594" max="3841" width="9.140625" style="1"/>
    <col min="3842" max="3842" width="8.28515625" style="1" customWidth="1"/>
    <col min="3843" max="3843" width="10.5703125" style="1" customWidth="1"/>
    <col min="3844" max="3844" width="15.140625" style="1" customWidth="1"/>
    <col min="3845" max="3846" width="12" style="1" customWidth="1"/>
    <col min="3847" max="3848" width="13.85546875" style="1" customWidth="1"/>
    <col min="3849" max="3849" width="51.5703125" style="1" customWidth="1"/>
    <col min="3850" max="4097" width="9.140625" style="1"/>
    <col min="4098" max="4098" width="8.28515625" style="1" customWidth="1"/>
    <col min="4099" max="4099" width="10.5703125" style="1" customWidth="1"/>
    <col min="4100" max="4100" width="15.140625" style="1" customWidth="1"/>
    <col min="4101" max="4102" width="12" style="1" customWidth="1"/>
    <col min="4103" max="4104" width="13.85546875" style="1" customWidth="1"/>
    <col min="4105" max="4105" width="51.5703125" style="1" customWidth="1"/>
    <col min="4106" max="4353" width="9.140625" style="1"/>
    <col min="4354" max="4354" width="8.28515625" style="1" customWidth="1"/>
    <col min="4355" max="4355" width="10.5703125" style="1" customWidth="1"/>
    <col min="4356" max="4356" width="15.140625" style="1" customWidth="1"/>
    <col min="4357" max="4358" width="12" style="1" customWidth="1"/>
    <col min="4359" max="4360" width="13.85546875" style="1" customWidth="1"/>
    <col min="4361" max="4361" width="51.5703125" style="1" customWidth="1"/>
    <col min="4362" max="4609" width="9.140625" style="1"/>
    <col min="4610" max="4610" width="8.28515625" style="1" customWidth="1"/>
    <col min="4611" max="4611" width="10.5703125" style="1" customWidth="1"/>
    <col min="4612" max="4612" width="15.140625" style="1" customWidth="1"/>
    <col min="4613" max="4614" width="12" style="1" customWidth="1"/>
    <col min="4615" max="4616" width="13.85546875" style="1" customWidth="1"/>
    <col min="4617" max="4617" width="51.5703125" style="1" customWidth="1"/>
    <col min="4618" max="4865" width="9.140625" style="1"/>
    <col min="4866" max="4866" width="8.28515625" style="1" customWidth="1"/>
    <col min="4867" max="4867" width="10.5703125" style="1" customWidth="1"/>
    <col min="4868" max="4868" width="15.140625" style="1" customWidth="1"/>
    <col min="4869" max="4870" width="12" style="1" customWidth="1"/>
    <col min="4871" max="4872" width="13.85546875" style="1" customWidth="1"/>
    <col min="4873" max="4873" width="51.5703125" style="1" customWidth="1"/>
    <col min="4874" max="5121" width="9.140625" style="1"/>
    <col min="5122" max="5122" width="8.28515625" style="1" customWidth="1"/>
    <col min="5123" max="5123" width="10.5703125" style="1" customWidth="1"/>
    <col min="5124" max="5124" width="15.140625" style="1" customWidth="1"/>
    <col min="5125" max="5126" width="12" style="1" customWidth="1"/>
    <col min="5127" max="5128" width="13.85546875" style="1" customWidth="1"/>
    <col min="5129" max="5129" width="51.5703125" style="1" customWidth="1"/>
    <col min="5130" max="5377" width="9.140625" style="1"/>
    <col min="5378" max="5378" width="8.28515625" style="1" customWidth="1"/>
    <col min="5379" max="5379" width="10.5703125" style="1" customWidth="1"/>
    <col min="5380" max="5380" width="15.140625" style="1" customWidth="1"/>
    <col min="5381" max="5382" width="12" style="1" customWidth="1"/>
    <col min="5383" max="5384" width="13.85546875" style="1" customWidth="1"/>
    <col min="5385" max="5385" width="51.5703125" style="1" customWidth="1"/>
    <col min="5386" max="5633" width="9.140625" style="1"/>
    <col min="5634" max="5634" width="8.28515625" style="1" customWidth="1"/>
    <col min="5635" max="5635" width="10.5703125" style="1" customWidth="1"/>
    <col min="5636" max="5636" width="15.140625" style="1" customWidth="1"/>
    <col min="5637" max="5638" width="12" style="1" customWidth="1"/>
    <col min="5639" max="5640" width="13.85546875" style="1" customWidth="1"/>
    <col min="5641" max="5641" width="51.5703125" style="1" customWidth="1"/>
    <col min="5642" max="5889" width="9.140625" style="1"/>
    <col min="5890" max="5890" width="8.28515625" style="1" customWidth="1"/>
    <col min="5891" max="5891" width="10.5703125" style="1" customWidth="1"/>
    <col min="5892" max="5892" width="15.140625" style="1" customWidth="1"/>
    <col min="5893" max="5894" width="12" style="1" customWidth="1"/>
    <col min="5895" max="5896" width="13.85546875" style="1" customWidth="1"/>
    <col min="5897" max="5897" width="51.5703125" style="1" customWidth="1"/>
    <col min="5898" max="6145" width="9.140625" style="1"/>
    <col min="6146" max="6146" width="8.28515625" style="1" customWidth="1"/>
    <col min="6147" max="6147" width="10.5703125" style="1" customWidth="1"/>
    <col min="6148" max="6148" width="15.140625" style="1" customWidth="1"/>
    <col min="6149" max="6150" width="12" style="1" customWidth="1"/>
    <col min="6151" max="6152" width="13.85546875" style="1" customWidth="1"/>
    <col min="6153" max="6153" width="51.5703125" style="1" customWidth="1"/>
    <col min="6154" max="6401" width="9.140625" style="1"/>
    <col min="6402" max="6402" width="8.28515625" style="1" customWidth="1"/>
    <col min="6403" max="6403" width="10.5703125" style="1" customWidth="1"/>
    <col min="6404" max="6404" width="15.140625" style="1" customWidth="1"/>
    <col min="6405" max="6406" width="12" style="1" customWidth="1"/>
    <col min="6407" max="6408" width="13.85546875" style="1" customWidth="1"/>
    <col min="6409" max="6409" width="51.5703125" style="1" customWidth="1"/>
    <col min="6410" max="6657" width="9.140625" style="1"/>
    <col min="6658" max="6658" width="8.28515625" style="1" customWidth="1"/>
    <col min="6659" max="6659" width="10.5703125" style="1" customWidth="1"/>
    <col min="6660" max="6660" width="15.140625" style="1" customWidth="1"/>
    <col min="6661" max="6662" width="12" style="1" customWidth="1"/>
    <col min="6663" max="6664" width="13.85546875" style="1" customWidth="1"/>
    <col min="6665" max="6665" width="51.5703125" style="1" customWidth="1"/>
    <col min="6666" max="6913" width="9.140625" style="1"/>
    <col min="6914" max="6914" width="8.28515625" style="1" customWidth="1"/>
    <col min="6915" max="6915" width="10.5703125" style="1" customWidth="1"/>
    <col min="6916" max="6916" width="15.140625" style="1" customWidth="1"/>
    <col min="6917" max="6918" width="12" style="1" customWidth="1"/>
    <col min="6919" max="6920" width="13.85546875" style="1" customWidth="1"/>
    <col min="6921" max="6921" width="51.5703125" style="1" customWidth="1"/>
    <col min="6922" max="7169" width="9.140625" style="1"/>
    <col min="7170" max="7170" width="8.28515625" style="1" customWidth="1"/>
    <col min="7171" max="7171" width="10.5703125" style="1" customWidth="1"/>
    <col min="7172" max="7172" width="15.140625" style="1" customWidth="1"/>
    <col min="7173" max="7174" width="12" style="1" customWidth="1"/>
    <col min="7175" max="7176" width="13.85546875" style="1" customWidth="1"/>
    <col min="7177" max="7177" width="51.5703125" style="1" customWidth="1"/>
    <col min="7178" max="7425" width="9.140625" style="1"/>
    <col min="7426" max="7426" width="8.28515625" style="1" customWidth="1"/>
    <col min="7427" max="7427" width="10.5703125" style="1" customWidth="1"/>
    <col min="7428" max="7428" width="15.140625" style="1" customWidth="1"/>
    <col min="7429" max="7430" width="12" style="1" customWidth="1"/>
    <col min="7431" max="7432" width="13.85546875" style="1" customWidth="1"/>
    <col min="7433" max="7433" width="51.5703125" style="1" customWidth="1"/>
    <col min="7434" max="7681" width="9.140625" style="1"/>
    <col min="7682" max="7682" width="8.28515625" style="1" customWidth="1"/>
    <col min="7683" max="7683" width="10.5703125" style="1" customWidth="1"/>
    <col min="7684" max="7684" width="15.140625" style="1" customWidth="1"/>
    <col min="7685" max="7686" width="12" style="1" customWidth="1"/>
    <col min="7687" max="7688" width="13.85546875" style="1" customWidth="1"/>
    <col min="7689" max="7689" width="51.5703125" style="1" customWidth="1"/>
    <col min="7690" max="7937" width="9.140625" style="1"/>
    <col min="7938" max="7938" width="8.28515625" style="1" customWidth="1"/>
    <col min="7939" max="7939" width="10.5703125" style="1" customWidth="1"/>
    <col min="7940" max="7940" width="15.140625" style="1" customWidth="1"/>
    <col min="7941" max="7942" width="12" style="1" customWidth="1"/>
    <col min="7943" max="7944" width="13.85546875" style="1" customWidth="1"/>
    <col min="7945" max="7945" width="51.5703125" style="1" customWidth="1"/>
    <col min="7946" max="8193" width="9.140625" style="1"/>
    <col min="8194" max="8194" width="8.28515625" style="1" customWidth="1"/>
    <col min="8195" max="8195" width="10.5703125" style="1" customWidth="1"/>
    <col min="8196" max="8196" width="15.140625" style="1" customWidth="1"/>
    <col min="8197" max="8198" width="12" style="1" customWidth="1"/>
    <col min="8199" max="8200" width="13.85546875" style="1" customWidth="1"/>
    <col min="8201" max="8201" width="51.5703125" style="1" customWidth="1"/>
    <col min="8202" max="8449" width="9.140625" style="1"/>
    <col min="8450" max="8450" width="8.28515625" style="1" customWidth="1"/>
    <col min="8451" max="8451" width="10.5703125" style="1" customWidth="1"/>
    <col min="8452" max="8452" width="15.140625" style="1" customWidth="1"/>
    <col min="8453" max="8454" width="12" style="1" customWidth="1"/>
    <col min="8455" max="8456" width="13.85546875" style="1" customWidth="1"/>
    <col min="8457" max="8457" width="51.5703125" style="1" customWidth="1"/>
    <col min="8458" max="8705" width="9.140625" style="1"/>
    <col min="8706" max="8706" width="8.28515625" style="1" customWidth="1"/>
    <col min="8707" max="8707" width="10.5703125" style="1" customWidth="1"/>
    <col min="8708" max="8708" width="15.140625" style="1" customWidth="1"/>
    <col min="8709" max="8710" width="12" style="1" customWidth="1"/>
    <col min="8711" max="8712" width="13.85546875" style="1" customWidth="1"/>
    <col min="8713" max="8713" width="51.5703125" style="1" customWidth="1"/>
    <col min="8714" max="8961" width="9.140625" style="1"/>
    <col min="8962" max="8962" width="8.28515625" style="1" customWidth="1"/>
    <col min="8963" max="8963" width="10.5703125" style="1" customWidth="1"/>
    <col min="8964" max="8964" width="15.140625" style="1" customWidth="1"/>
    <col min="8965" max="8966" width="12" style="1" customWidth="1"/>
    <col min="8967" max="8968" width="13.85546875" style="1" customWidth="1"/>
    <col min="8969" max="8969" width="51.5703125" style="1" customWidth="1"/>
    <col min="8970" max="9217" width="9.140625" style="1"/>
    <col min="9218" max="9218" width="8.28515625" style="1" customWidth="1"/>
    <col min="9219" max="9219" width="10.5703125" style="1" customWidth="1"/>
    <col min="9220" max="9220" width="15.140625" style="1" customWidth="1"/>
    <col min="9221" max="9222" width="12" style="1" customWidth="1"/>
    <col min="9223" max="9224" width="13.85546875" style="1" customWidth="1"/>
    <col min="9225" max="9225" width="51.5703125" style="1" customWidth="1"/>
    <col min="9226" max="9473" width="9.140625" style="1"/>
    <col min="9474" max="9474" width="8.28515625" style="1" customWidth="1"/>
    <col min="9475" max="9475" width="10.5703125" style="1" customWidth="1"/>
    <col min="9476" max="9476" width="15.140625" style="1" customWidth="1"/>
    <col min="9477" max="9478" width="12" style="1" customWidth="1"/>
    <col min="9479" max="9480" width="13.85546875" style="1" customWidth="1"/>
    <col min="9481" max="9481" width="51.5703125" style="1" customWidth="1"/>
    <col min="9482" max="9729" width="9.140625" style="1"/>
    <col min="9730" max="9730" width="8.28515625" style="1" customWidth="1"/>
    <col min="9731" max="9731" width="10.5703125" style="1" customWidth="1"/>
    <col min="9732" max="9732" width="15.140625" style="1" customWidth="1"/>
    <col min="9733" max="9734" width="12" style="1" customWidth="1"/>
    <col min="9735" max="9736" width="13.85546875" style="1" customWidth="1"/>
    <col min="9737" max="9737" width="51.5703125" style="1" customWidth="1"/>
    <col min="9738" max="9985" width="9.140625" style="1"/>
    <col min="9986" max="9986" width="8.28515625" style="1" customWidth="1"/>
    <col min="9987" max="9987" width="10.5703125" style="1" customWidth="1"/>
    <col min="9988" max="9988" width="15.140625" style="1" customWidth="1"/>
    <col min="9989" max="9990" width="12" style="1" customWidth="1"/>
    <col min="9991" max="9992" width="13.85546875" style="1" customWidth="1"/>
    <col min="9993" max="9993" width="51.5703125" style="1" customWidth="1"/>
    <col min="9994" max="10241" width="9.140625" style="1"/>
    <col min="10242" max="10242" width="8.28515625" style="1" customWidth="1"/>
    <col min="10243" max="10243" width="10.5703125" style="1" customWidth="1"/>
    <col min="10244" max="10244" width="15.140625" style="1" customWidth="1"/>
    <col min="10245" max="10246" width="12" style="1" customWidth="1"/>
    <col min="10247" max="10248" width="13.85546875" style="1" customWidth="1"/>
    <col min="10249" max="10249" width="51.5703125" style="1" customWidth="1"/>
    <col min="10250" max="10497" width="9.140625" style="1"/>
    <col min="10498" max="10498" width="8.28515625" style="1" customWidth="1"/>
    <col min="10499" max="10499" width="10.5703125" style="1" customWidth="1"/>
    <col min="10500" max="10500" width="15.140625" style="1" customWidth="1"/>
    <col min="10501" max="10502" width="12" style="1" customWidth="1"/>
    <col min="10503" max="10504" width="13.85546875" style="1" customWidth="1"/>
    <col min="10505" max="10505" width="51.5703125" style="1" customWidth="1"/>
    <col min="10506" max="10753" width="9.140625" style="1"/>
    <col min="10754" max="10754" width="8.28515625" style="1" customWidth="1"/>
    <col min="10755" max="10755" width="10.5703125" style="1" customWidth="1"/>
    <col min="10756" max="10756" width="15.140625" style="1" customWidth="1"/>
    <col min="10757" max="10758" width="12" style="1" customWidth="1"/>
    <col min="10759" max="10760" width="13.85546875" style="1" customWidth="1"/>
    <col min="10761" max="10761" width="51.5703125" style="1" customWidth="1"/>
    <col min="10762" max="11009" width="9.140625" style="1"/>
    <col min="11010" max="11010" width="8.28515625" style="1" customWidth="1"/>
    <col min="11011" max="11011" width="10.5703125" style="1" customWidth="1"/>
    <col min="11012" max="11012" width="15.140625" style="1" customWidth="1"/>
    <col min="11013" max="11014" width="12" style="1" customWidth="1"/>
    <col min="11015" max="11016" width="13.85546875" style="1" customWidth="1"/>
    <col min="11017" max="11017" width="51.5703125" style="1" customWidth="1"/>
    <col min="11018" max="11265" width="9.140625" style="1"/>
    <col min="11266" max="11266" width="8.28515625" style="1" customWidth="1"/>
    <col min="11267" max="11267" width="10.5703125" style="1" customWidth="1"/>
    <col min="11268" max="11268" width="15.140625" style="1" customWidth="1"/>
    <col min="11269" max="11270" width="12" style="1" customWidth="1"/>
    <col min="11271" max="11272" width="13.85546875" style="1" customWidth="1"/>
    <col min="11273" max="11273" width="51.5703125" style="1" customWidth="1"/>
    <col min="11274" max="11521" width="9.140625" style="1"/>
    <col min="11522" max="11522" width="8.28515625" style="1" customWidth="1"/>
    <col min="11523" max="11523" width="10.5703125" style="1" customWidth="1"/>
    <col min="11524" max="11524" width="15.140625" style="1" customWidth="1"/>
    <col min="11525" max="11526" width="12" style="1" customWidth="1"/>
    <col min="11527" max="11528" width="13.85546875" style="1" customWidth="1"/>
    <col min="11529" max="11529" width="51.5703125" style="1" customWidth="1"/>
    <col min="11530" max="11777" width="9.140625" style="1"/>
    <col min="11778" max="11778" width="8.28515625" style="1" customWidth="1"/>
    <col min="11779" max="11779" width="10.5703125" style="1" customWidth="1"/>
    <col min="11780" max="11780" width="15.140625" style="1" customWidth="1"/>
    <col min="11781" max="11782" width="12" style="1" customWidth="1"/>
    <col min="11783" max="11784" width="13.85546875" style="1" customWidth="1"/>
    <col min="11785" max="11785" width="51.5703125" style="1" customWidth="1"/>
    <col min="11786" max="12033" width="9.140625" style="1"/>
    <col min="12034" max="12034" width="8.28515625" style="1" customWidth="1"/>
    <col min="12035" max="12035" width="10.5703125" style="1" customWidth="1"/>
    <col min="12036" max="12036" width="15.140625" style="1" customWidth="1"/>
    <col min="12037" max="12038" width="12" style="1" customWidth="1"/>
    <col min="12039" max="12040" width="13.85546875" style="1" customWidth="1"/>
    <col min="12041" max="12041" width="51.5703125" style="1" customWidth="1"/>
    <col min="12042" max="12289" width="9.140625" style="1"/>
    <col min="12290" max="12290" width="8.28515625" style="1" customWidth="1"/>
    <col min="12291" max="12291" width="10.5703125" style="1" customWidth="1"/>
    <col min="12292" max="12292" width="15.140625" style="1" customWidth="1"/>
    <col min="12293" max="12294" width="12" style="1" customWidth="1"/>
    <col min="12295" max="12296" width="13.85546875" style="1" customWidth="1"/>
    <col min="12297" max="12297" width="51.5703125" style="1" customWidth="1"/>
    <col min="12298" max="12545" width="9.140625" style="1"/>
    <col min="12546" max="12546" width="8.28515625" style="1" customWidth="1"/>
    <col min="12547" max="12547" width="10.5703125" style="1" customWidth="1"/>
    <col min="12548" max="12548" width="15.140625" style="1" customWidth="1"/>
    <col min="12549" max="12550" width="12" style="1" customWidth="1"/>
    <col min="12551" max="12552" width="13.85546875" style="1" customWidth="1"/>
    <col min="12553" max="12553" width="51.5703125" style="1" customWidth="1"/>
    <col min="12554" max="12801" width="9.140625" style="1"/>
    <col min="12802" max="12802" width="8.28515625" style="1" customWidth="1"/>
    <col min="12803" max="12803" width="10.5703125" style="1" customWidth="1"/>
    <col min="12804" max="12804" width="15.140625" style="1" customWidth="1"/>
    <col min="12805" max="12806" width="12" style="1" customWidth="1"/>
    <col min="12807" max="12808" width="13.85546875" style="1" customWidth="1"/>
    <col min="12809" max="12809" width="51.5703125" style="1" customWidth="1"/>
    <col min="12810" max="13057" width="9.140625" style="1"/>
    <col min="13058" max="13058" width="8.28515625" style="1" customWidth="1"/>
    <col min="13059" max="13059" width="10.5703125" style="1" customWidth="1"/>
    <col min="13060" max="13060" width="15.140625" style="1" customWidth="1"/>
    <col min="13061" max="13062" width="12" style="1" customWidth="1"/>
    <col min="13063" max="13064" width="13.85546875" style="1" customWidth="1"/>
    <col min="13065" max="13065" width="51.5703125" style="1" customWidth="1"/>
    <col min="13066" max="13313" width="9.140625" style="1"/>
    <col min="13314" max="13314" width="8.28515625" style="1" customWidth="1"/>
    <col min="13315" max="13315" width="10.5703125" style="1" customWidth="1"/>
    <col min="13316" max="13316" width="15.140625" style="1" customWidth="1"/>
    <col min="13317" max="13318" width="12" style="1" customWidth="1"/>
    <col min="13319" max="13320" width="13.85546875" style="1" customWidth="1"/>
    <col min="13321" max="13321" width="51.5703125" style="1" customWidth="1"/>
    <col min="13322" max="13569" width="9.140625" style="1"/>
    <col min="13570" max="13570" width="8.28515625" style="1" customWidth="1"/>
    <col min="13571" max="13571" width="10.5703125" style="1" customWidth="1"/>
    <col min="13572" max="13572" width="15.140625" style="1" customWidth="1"/>
    <col min="13573" max="13574" width="12" style="1" customWidth="1"/>
    <col min="13575" max="13576" width="13.85546875" style="1" customWidth="1"/>
    <col min="13577" max="13577" width="51.5703125" style="1" customWidth="1"/>
    <col min="13578" max="13825" width="9.140625" style="1"/>
    <col min="13826" max="13826" width="8.28515625" style="1" customWidth="1"/>
    <col min="13827" max="13827" width="10.5703125" style="1" customWidth="1"/>
    <col min="13828" max="13828" width="15.140625" style="1" customWidth="1"/>
    <col min="13829" max="13830" width="12" style="1" customWidth="1"/>
    <col min="13831" max="13832" width="13.85546875" style="1" customWidth="1"/>
    <col min="13833" max="13833" width="51.5703125" style="1" customWidth="1"/>
    <col min="13834" max="14081" width="9.140625" style="1"/>
    <col min="14082" max="14082" width="8.28515625" style="1" customWidth="1"/>
    <col min="14083" max="14083" width="10.5703125" style="1" customWidth="1"/>
    <col min="14084" max="14084" width="15.140625" style="1" customWidth="1"/>
    <col min="14085" max="14086" width="12" style="1" customWidth="1"/>
    <col min="14087" max="14088" width="13.85546875" style="1" customWidth="1"/>
    <col min="14089" max="14089" width="51.5703125" style="1" customWidth="1"/>
    <col min="14090" max="14337" width="9.140625" style="1"/>
    <col min="14338" max="14338" width="8.28515625" style="1" customWidth="1"/>
    <col min="14339" max="14339" width="10.5703125" style="1" customWidth="1"/>
    <col min="14340" max="14340" width="15.140625" style="1" customWidth="1"/>
    <col min="14341" max="14342" width="12" style="1" customWidth="1"/>
    <col min="14343" max="14344" width="13.85546875" style="1" customWidth="1"/>
    <col min="14345" max="14345" width="51.5703125" style="1" customWidth="1"/>
    <col min="14346" max="14593" width="9.140625" style="1"/>
    <col min="14594" max="14594" width="8.28515625" style="1" customWidth="1"/>
    <col min="14595" max="14595" width="10.5703125" style="1" customWidth="1"/>
    <col min="14596" max="14596" width="15.140625" style="1" customWidth="1"/>
    <col min="14597" max="14598" width="12" style="1" customWidth="1"/>
    <col min="14599" max="14600" width="13.85546875" style="1" customWidth="1"/>
    <col min="14601" max="14601" width="51.5703125" style="1" customWidth="1"/>
    <col min="14602" max="14849" width="9.140625" style="1"/>
    <col min="14850" max="14850" width="8.28515625" style="1" customWidth="1"/>
    <col min="14851" max="14851" width="10.5703125" style="1" customWidth="1"/>
    <col min="14852" max="14852" width="15.140625" style="1" customWidth="1"/>
    <col min="14853" max="14854" width="12" style="1" customWidth="1"/>
    <col min="14855" max="14856" width="13.85546875" style="1" customWidth="1"/>
    <col min="14857" max="14857" width="51.5703125" style="1" customWidth="1"/>
    <col min="14858" max="15105" width="9.140625" style="1"/>
    <col min="15106" max="15106" width="8.28515625" style="1" customWidth="1"/>
    <col min="15107" max="15107" width="10.5703125" style="1" customWidth="1"/>
    <col min="15108" max="15108" width="15.140625" style="1" customWidth="1"/>
    <col min="15109" max="15110" width="12" style="1" customWidth="1"/>
    <col min="15111" max="15112" width="13.85546875" style="1" customWidth="1"/>
    <col min="15113" max="15113" width="51.5703125" style="1" customWidth="1"/>
    <col min="15114" max="15361" width="9.140625" style="1"/>
    <col min="15362" max="15362" width="8.28515625" style="1" customWidth="1"/>
    <col min="15363" max="15363" width="10.5703125" style="1" customWidth="1"/>
    <col min="15364" max="15364" width="15.140625" style="1" customWidth="1"/>
    <col min="15365" max="15366" width="12" style="1" customWidth="1"/>
    <col min="15367" max="15368" width="13.85546875" style="1" customWidth="1"/>
    <col min="15369" max="15369" width="51.5703125" style="1" customWidth="1"/>
    <col min="15370" max="15617" width="9.140625" style="1"/>
    <col min="15618" max="15618" width="8.28515625" style="1" customWidth="1"/>
    <col min="15619" max="15619" width="10.5703125" style="1" customWidth="1"/>
    <col min="15620" max="15620" width="15.140625" style="1" customWidth="1"/>
    <col min="15621" max="15622" width="12" style="1" customWidth="1"/>
    <col min="15623" max="15624" width="13.85546875" style="1" customWidth="1"/>
    <col min="15625" max="15625" width="51.5703125" style="1" customWidth="1"/>
    <col min="15626" max="15873" width="9.140625" style="1"/>
    <col min="15874" max="15874" width="8.28515625" style="1" customWidth="1"/>
    <col min="15875" max="15875" width="10.5703125" style="1" customWidth="1"/>
    <col min="15876" max="15876" width="15.140625" style="1" customWidth="1"/>
    <col min="15877" max="15878" width="12" style="1" customWidth="1"/>
    <col min="15879" max="15880" width="13.85546875" style="1" customWidth="1"/>
    <col min="15881" max="15881" width="51.5703125" style="1" customWidth="1"/>
    <col min="15882" max="16129" width="9.140625" style="1"/>
    <col min="16130" max="16130" width="8.28515625" style="1" customWidth="1"/>
    <col min="16131" max="16131" width="10.5703125" style="1" customWidth="1"/>
    <col min="16132" max="16132" width="15.140625" style="1" customWidth="1"/>
    <col min="16133" max="16134" width="12" style="1" customWidth="1"/>
    <col min="16135" max="16136" width="13.85546875" style="1" customWidth="1"/>
    <col min="16137" max="16137" width="51.5703125" style="1" customWidth="1"/>
    <col min="16138" max="16384" width="9.140625" style="1"/>
  </cols>
  <sheetData>
    <row r="1" spans="1:9" ht="56.25" customHeight="1">
      <c r="A1" s="61"/>
      <c r="B1" s="61"/>
      <c r="C1" s="80" t="s">
        <v>78</v>
      </c>
      <c r="D1" s="80"/>
      <c r="E1" s="79"/>
      <c r="F1" s="79"/>
      <c r="G1" s="79"/>
      <c r="H1" s="1559" t="s">
        <v>1090</v>
      </c>
      <c r="I1" s="1559"/>
    </row>
    <row r="2" spans="1:9" ht="45" customHeight="1">
      <c r="A2" s="1647" t="s">
        <v>77</v>
      </c>
      <c r="B2" s="1647"/>
      <c r="C2" s="1647"/>
      <c r="D2" s="1647"/>
      <c r="E2" s="1647"/>
      <c r="F2" s="1647"/>
      <c r="G2" s="1647"/>
      <c r="H2" s="1647"/>
      <c r="I2" s="1647"/>
    </row>
    <row r="3" spans="1:9" ht="15.75" thickBot="1">
      <c r="A3" s="8"/>
      <c r="B3" s="8"/>
      <c r="C3" s="8"/>
      <c r="D3" s="8"/>
      <c r="E3" s="8"/>
      <c r="F3" s="8"/>
      <c r="G3" s="8"/>
      <c r="H3" s="8"/>
      <c r="I3" s="7" t="s">
        <v>24</v>
      </c>
    </row>
    <row r="4" spans="1:9" ht="15.75" thickBot="1">
      <c r="A4" s="1648" t="s">
        <v>0</v>
      </c>
      <c r="B4" s="1648" t="s">
        <v>1</v>
      </c>
      <c r="C4" s="1650" t="s">
        <v>74</v>
      </c>
      <c r="D4" s="1672" t="s">
        <v>5</v>
      </c>
      <c r="E4" s="1651" t="s">
        <v>25</v>
      </c>
      <c r="F4" s="1671" t="s">
        <v>62</v>
      </c>
      <c r="G4" s="1651"/>
      <c r="H4" s="1651" t="s">
        <v>73</v>
      </c>
      <c r="I4" s="1648" t="s">
        <v>72</v>
      </c>
    </row>
    <row r="5" spans="1:9" ht="15.75" customHeight="1" thickBot="1">
      <c r="A5" s="1648"/>
      <c r="B5" s="1648"/>
      <c r="C5" s="1650"/>
      <c r="D5" s="1673"/>
      <c r="E5" s="1651"/>
      <c r="F5" s="1671" t="s">
        <v>23</v>
      </c>
      <c r="G5" s="1651" t="s">
        <v>22</v>
      </c>
      <c r="H5" s="1651"/>
      <c r="I5" s="1648"/>
    </row>
    <row r="6" spans="1:9" ht="15.75" customHeight="1" thickBot="1">
      <c r="A6" s="1648"/>
      <c r="B6" s="1648"/>
      <c r="C6" s="1650"/>
      <c r="D6" s="1674"/>
      <c r="E6" s="1651"/>
      <c r="F6" s="1671"/>
      <c r="G6" s="1651"/>
      <c r="H6" s="1651"/>
      <c r="I6" s="1648"/>
    </row>
    <row r="7" spans="1:9" ht="33.75" customHeight="1" thickBot="1">
      <c r="A7" s="1658" t="s">
        <v>4</v>
      </c>
      <c r="B7" s="1588" t="s">
        <v>21</v>
      </c>
      <c r="C7" s="1668"/>
      <c r="D7" s="1589"/>
      <c r="E7" s="96">
        <f>SUM(E8)</f>
        <v>300000</v>
      </c>
      <c r="F7" s="95">
        <f>SUM(F8)</f>
        <v>300000</v>
      </c>
      <c r="G7" s="94">
        <f>SUM(G8)</f>
        <v>0</v>
      </c>
      <c r="H7" s="93"/>
      <c r="I7" s="92"/>
    </row>
    <row r="8" spans="1:9" ht="125.25" customHeight="1" thickBot="1">
      <c r="A8" s="1660"/>
      <c r="B8" s="91" t="s">
        <v>3</v>
      </c>
      <c r="C8" s="90" t="s">
        <v>6</v>
      </c>
      <c r="D8" s="89" t="s">
        <v>16</v>
      </c>
      <c r="E8" s="88">
        <f>SUM(F8:G8)</f>
        <v>300000</v>
      </c>
      <c r="F8" s="87">
        <v>300000</v>
      </c>
      <c r="G8" s="86">
        <v>0</v>
      </c>
      <c r="H8" s="69" t="s">
        <v>76</v>
      </c>
      <c r="I8" s="85" t="s">
        <v>75</v>
      </c>
    </row>
    <row r="9" spans="1:9" ht="23.25" customHeight="1" thickBot="1">
      <c r="A9" s="1669" t="s">
        <v>69</v>
      </c>
      <c r="B9" s="1669"/>
      <c r="C9" s="1670"/>
      <c r="D9" s="84"/>
      <c r="E9" s="83">
        <f>SUM(E7)</f>
        <v>300000</v>
      </c>
      <c r="F9" s="83">
        <f>SUM(F7)</f>
        <v>300000</v>
      </c>
      <c r="G9" s="82">
        <f>SUM(G7)</f>
        <v>0</v>
      </c>
      <c r="H9" s="51"/>
      <c r="I9" s="81"/>
    </row>
    <row r="23" spans="5:5">
      <c r="E23" s="174"/>
    </row>
  </sheetData>
  <mergeCells count="15">
    <mergeCell ref="B7:D7"/>
    <mergeCell ref="G5:G6"/>
    <mergeCell ref="A7:A8"/>
    <mergeCell ref="A9:C9"/>
    <mergeCell ref="H1:I1"/>
    <mergeCell ref="A2:I2"/>
    <mergeCell ref="A4:A6"/>
    <mergeCell ref="B4:B6"/>
    <mergeCell ref="C4:C6"/>
    <mergeCell ref="E4:E6"/>
    <mergeCell ref="F4:G4"/>
    <mergeCell ref="H4:H6"/>
    <mergeCell ref="I4:I6"/>
    <mergeCell ref="F5:F6"/>
    <mergeCell ref="D4:D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K23"/>
  <sheetViews>
    <sheetView view="pageBreakPreview" zoomScaleNormal="100" zoomScaleSheetLayoutView="100" workbookViewId="0">
      <selection activeCell="G1" sqref="G1:K1"/>
    </sheetView>
  </sheetViews>
  <sheetFormatPr defaultRowHeight="12.75"/>
  <cols>
    <col min="1" max="1" width="9.140625" style="1"/>
    <col min="2" max="2" width="11" style="1" customWidth="1"/>
    <col min="3" max="3" width="11.140625" style="1" customWidth="1"/>
    <col min="4" max="4" width="9.140625" style="1"/>
    <col min="5" max="5" width="10.5703125" style="1" customWidth="1"/>
    <col min="6" max="6" width="11.42578125" style="1" customWidth="1"/>
    <col min="7" max="7" width="12.85546875" style="1" customWidth="1"/>
    <col min="8" max="8" width="18.85546875" style="1" customWidth="1"/>
    <col min="9" max="9" width="12" style="1" customWidth="1"/>
    <col min="10" max="10" width="13" style="1" customWidth="1"/>
    <col min="11" max="11" width="15.140625" style="1" customWidth="1"/>
    <col min="12" max="257" width="9.140625" style="1"/>
    <col min="258" max="258" width="11" style="1" customWidth="1"/>
    <col min="259" max="259" width="11.140625" style="1" customWidth="1"/>
    <col min="260" max="260" width="9.140625" style="1"/>
    <col min="261" max="261" width="10.5703125" style="1" customWidth="1"/>
    <col min="262" max="262" width="11.42578125" style="1" customWidth="1"/>
    <col min="263" max="263" width="12.85546875" style="1" customWidth="1"/>
    <col min="264" max="264" width="18.85546875" style="1" customWidth="1"/>
    <col min="265" max="265" width="12" style="1" customWidth="1"/>
    <col min="266" max="266" width="13" style="1" customWidth="1"/>
    <col min="267" max="267" width="15.140625" style="1" customWidth="1"/>
    <col min="268" max="513" width="9.140625" style="1"/>
    <col min="514" max="514" width="11" style="1" customWidth="1"/>
    <col min="515" max="515" width="11.140625" style="1" customWidth="1"/>
    <col min="516" max="516" width="9.140625" style="1"/>
    <col min="517" max="517" width="10.5703125" style="1" customWidth="1"/>
    <col min="518" max="518" width="11.42578125" style="1" customWidth="1"/>
    <col min="519" max="519" width="12.85546875" style="1" customWidth="1"/>
    <col min="520" max="520" width="18.85546875" style="1" customWidth="1"/>
    <col min="521" max="521" width="12" style="1" customWidth="1"/>
    <col min="522" max="522" width="13" style="1" customWidth="1"/>
    <col min="523" max="523" width="15.140625" style="1" customWidth="1"/>
    <col min="524" max="769" width="9.140625" style="1"/>
    <col min="770" max="770" width="11" style="1" customWidth="1"/>
    <col min="771" max="771" width="11.140625" style="1" customWidth="1"/>
    <col min="772" max="772" width="9.140625" style="1"/>
    <col min="773" max="773" width="10.5703125" style="1" customWidth="1"/>
    <col min="774" max="774" width="11.42578125" style="1" customWidth="1"/>
    <col min="775" max="775" width="12.85546875" style="1" customWidth="1"/>
    <col min="776" max="776" width="18.85546875" style="1" customWidth="1"/>
    <col min="777" max="777" width="12" style="1" customWidth="1"/>
    <col min="778" max="778" width="13" style="1" customWidth="1"/>
    <col min="779" max="779" width="15.140625" style="1" customWidth="1"/>
    <col min="780" max="1025" width="9.140625" style="1"/>
    <col min="1026" max="1026" width="11" style="1" customWidth="1"/>
    <col min="1027" max="1027" width="11.140625" style="1" customWidth="1"/>
    <col min="1028" max="1028" width="9.140625" style="1"/>
    <col min="1029" max="1029" width="10.5703125" style="1" customWidth="1"/>
    <col min="1030" max="1030" width="11.42578125" style="1" customWidth="1"/>
    <col min="1031" max="1031" width="12.85546875" style="1" customWidth="1"/>
    <col min="1032" max="1032" width="18.85546875" style="1" customWidth="1"/>
    <col min="1033" max="1033" width="12" style="1" customWidth="1"/>
    <col min="1034" max="1034" width="13" style="1" customWidth="1"/>
    <col min="1035" max="1035" width="15.140625" style="1" customWidth="1"/>
    <col min="1036" max="1281" width="9.140625" style="1"/>
    <col min="1282" max="1282" width="11" style="1" customWidth="1"/>
    <col min="1283" max="1283" width="11.140625" style="1" customWidth="1"/>
    <col min="1284" max="1284" width="9.140625" style="1"/>
    <col min="1285" max="1285" width="10.5703125" style="1" customWidth="1"/>
    <col min="1286" max="1286" width="11.42578125" style="1" customWidth="1"/>
    <col min="1287" max="1287" width="12.85546875" style="1" customWidth="1"/>
    <col min="1288" max="1288" width="18.85546875" style="1" customWidth="1"/>
    <col min="1289" max="1289" width="12" style="1" customWidth="1"/>
    <col min="1290" max="1290" width="13" style="1" customWidth="1"/>
    <col min="1291" max="1291" width="15.140625" style="1" customWidth="1"/>
    <col min="1292" max="1537" width="9.140625" style="1"/>
    <col min="1538" max="1538" width="11" style="1" customWidth="1"/>
    <col min="1539" max="1539" width="11.140625" style="1" customWidth="1"/>
    <col min="1540" max="1540" width="9.140625" style="1"/>
    <col min="1541" max="1541" width="10.5703125" style="1" customWidth="1"/>
    <col min="1542" max="1542" width="11.42578125" style="1" customWidth="1"/>
    <col min="1543" max="1543" width="12.85546875" style="1" customWidth="1"/>
    <col min="1544" max="1544" width="18.85546875" style="1" customWidth="1"/>
    <col min="1545" max="1545" width="12" style="1" customWidth="1"/>
    <col min="1546" max="1546" width="13" style="1" customWidth="1"/>
    <col min="1547" max="1547" width="15.140625" style="1" customWidth="1"/>
    <col min="1548" max="1793" width="9.140625" style="1"/>
    <col min="1794" max="1794" width="11" style="1" customWidth="1"/>
    <col min="1795" max="1795" width="11.140625" style="1" customWidth="1"/>
    <col min="1796" max="1796" width="9.140625" style="1"/>
    <col min="1797" max="1797" width="10.5703125" style="1" customWidth="1"/>
    <col min="1798" max="1798" width="11.42578125" style="1" customWidth="1"/>
    <col min="1799" max="1799" width="12.85546875" style="1" customWidth="1"/>
    <col min="1800" max="1800" width="18.85546875" style="1" customWidth="1"/>
    <col min="1801" max="1801" width="12" style="1" customWidth="1"/>
    <col min="1802" max="1802" width="13" style="1" customWidth="1"/>
    <col min="1803" max="1803" width="15.140625" style="1" customWidth="1"/>
    <col min="1804" max="2049" width="9.140625" style="1"/>
    <col min="2050" max="2050" width="11" style="1" customWidth="1"/>
    <col min="2051" max="2051" width="11.140625" style="1" customWidth="1"/>
    <col min="2052" max="2052" width="9.140625" style="1"/>
    <col min="2053" max="2053" width="10.5703125" style="1" customWidth="1"/>
    <col min="2054" max="2054" width="11.42578125" style="1" customWidth="1"/>
    <col min="2055" max="2055" width="12.85546875" style="1" customWidth="1"/>
    <col min="2056" max="2056" width="18.85546875" style="1" customWidth="1"/>
    <col min="2057" max="2057" width="12" style="1" customWidth="1"/>
    <col min="2058" max="2058" width="13" style="1" customWidth="1"/>
    <col min="2059" max="2059" width="15.140625" style="1" customWidth="1"/>
    <col min="2060" max="2305" width="9.140625" style="1"/>
    <col min="2306" max="2306" width="11" style="1" customWidth="1"/>
    <col min="2307" max="2307" width="11.140625" style="1" customWidth="1"/>
    <col min="2308" max="2308" width="9.140625" style="1"/>
    <col min="2309" max="2309" width="10.5703125" style="1" customWidth="1"/>
    <col min="2310" max="2310" width="11.42578125" style="1" customWidth="1"/>
    <col min="2311" max="2311" width="12.85546875" style="1" customWidth="1"/>
    <col min="2312" max="2312" width="18.85546875" style="1" customWidth="1"/>
    <col min="2313" max="2313" width="12" style="1" customWidth="1"/>
    <col min="2314" max="2314" width="13" style="1" customWidth="1"/>
    <col min="2315" max="2315" width="15.140625" style="1" customWidth="1"/>
    <col min="2316" max="2561" width="9.140625" style="1"/>
    <col min="2562" max="2562" width="11" style="1" customWidth="1"/>
    <col min="2563" max="2563" width="11.140625" style="1" customWidth="1"/>
    <col min="2564" max="2564" width="9.140625" style="1"/>
    <col min="2565" max="2565" width="10.5703125" style="1" customWidth="1"/>
    <col min="2566" max="2566" width="11.42578125" style="1" customWidth="1"/>
    <col min="2567" max="2567" width="12.85546875" style="1" customWidth="1"/>
    <col min="2568" max="2568" width="18.85546875" style="1" customWidth="1"/>
    <col min="2569" max="2569" width="12" style="1" customWidth="1"/>
    <col min="2570" max="2570" width="13" style="1" customWidth="1"/>
    <col min="2571" max="2571" width="15.140625" style="1" customWidth="1"/>
    <col min="2572" max="2817" width="9.140625" style="1"/>
    <col min="2818" max="2818" width="11" style="1" customWidth="1"/>
    <col min="2819" max="2819" width="11.140625" style="1" customWidth="1"/>
    <col min="2820" max="2820" width="9.140625" style="1"/>
    <col min="2821" max="2821" width="10.5703125" style="1" customWidth="1"/>
    <col min="2822" max="2822" width="11.42578125" style="1" customWidth="1"/>
    <col min="2823" max="2823" width="12.85546875" style="1" customWidth="1"/>
    <col min="2824" max="2824" width="18.85546875" style="1" customWidth="1"/>
    <col min="2825" max="2825" width="12" style="1" customWidth="1"/>
    <col min="2826" max="2826" width="13" style="1" customWidth="1"/>
    <col min="2827" max="2827" width="15.140625" style="1" customWidth="1"/>
    <col min="2828" max="3073" width="9.140625" style="1"/>
    <col min="3074" max="3074" width="11" style="1" customWidth="1"/>
    <col min="3075" max="3075" width="11.140625" style="1" customWidth="1"/>
    <col min="3076" max="3076" width="9.140625" style="1"/>
    <col min="3077" max="3077" width="10.5703125" style="1" customWidth="1"/>
    <col min="3078" max="3078" width="11.42578125" style="1" customWidth="1"/>
    <col min="3079" max="3079" width="12.85546875" style="1" customWidth="1"/>
    <col min="3080" max="3080" width="18.85546875" style="1" customWidth="1"/>
    <col min="3081" max="3081" width="12" style="1" customWidth="1"/>
    <col min="3082" max="3082" width="13" style="1" customWidth="1"/>
    <col min="3083" max="3083" width="15.140625" style="1" customWidth="1"/>
    <col min="3084" max="3329" width="9.140625" style="1"/>
    <col min="3330" max="3330" width="11" style="1" customWidth="1"/>
    <col min="3331" max="3331" width="11.140625" style="1" customWidth="1"/>
    <col min="3332" max="3332" width="9.140625" style="1"/>
    <col min="3333" max="3333" width="10.5703125" style="1" customWidth="1"/>
    <col min="3334" max="3334" width="11.42578125" style="1" customWidth="1"/>
    <col min="3335" max="3335" width="12.85546875" style="1" customWidth="1"/>
    <col min="3336" max="3336" width="18.85546875" style="1" customWidth="1"/>
    <col min="3337" max="3337" width="12" style="1" customWidth="1"/>
    <col min="3338" max="3338" width="13" style="1" customWidth="1"/>
    <col min="3339" max="3339" width="15.140625" style="1" customWidth="1"/>
    <col min="3340" max="3585" width="9.140625" style="1"/>
    <col min="3586" max="3586" width="11" style="1" customWidth="1"/>
    <col min="3587" max="3587" width="11.140625" style="1" customWidth="1"/>
    <col min="3588" max="3588" width="9.140625" style="1"/>
    <col min="3589" max="3589" width="10.5703125" style="1" customWidth="1"/>
    <col min="3590" max="3590" width="11.42578125" style="1" customWidth="1"/>
    <col min="3591" max="3591" width="12.85546875" style="1" customWidth="1"/>
    <col min="3592" max="3592" width="18.85546875" style="1" customWidth="1"/>
    <col min="3593" max="3593" width="12" style="1" customWidth="1"/>
    <col min="3594" max="3594" width="13" style="1" customWidth="1"/>
    <col min="3595" max="3595" width="15.140625" style="1" customWidth="1"/>
    <col min="3596" max="3841" width="9.140625" style="1"/>
    <col min="3842" max="3842" width="11" style="1" customWidth="1"/>
    <col min="3843" max="3843" width="11.140625" style="1" customWidth="1"/>
    <col min="3844" max="3844" width="9.140625" style="1"/>
    <col min="3845" max="3845" width="10.5703125" style="1" customWidth="1"/>
    <col min="3846" max="3846" width="11.42578125" style="1" customWidth="1"/>
    <col min="3847" max="3847" width="12.85546875" style="1" customWidth="1"/>
    <col min="3848" max="3848" width="18.85546875" style="1" customWidth="1"/>
    <col min="3849" max="3849" width="12" style="1" customWidth="1"/>
    <col min="3850" max="3850" width="13" style="1" customWidth="1"/>
    <col min="3851" max="3851" width="15.140625" style="1" customWidth="1"/>
    <col min="3852" max="4097" width="9.140625" style="1"/>
    <col min="4098" max="4098" width="11" style="1" customWidth="1"/>
    <col min="4099" max="4099" width="11.140625" style="1" customWidth="1"/>
    <col min="4100" max="4100" width="9.140625" style="1"/>
    <col min="4101" max="4101" width="10.5703125" style="1" customWidth="1"/>
    <col min="4102" max="4102" width="11.42578125" style="1" customWidth="1"/>
    <col min="4103" max="4103" width="12.85546875" style="1" customWidth="1"/>
    <col min="4104" max="4104" width="18.85546875" style="1" customWidth="1"/>
    <col min="4105" max="4105" width="12" style="1" customWidth="1"/>
    <col min="4106" max="4106" width="13" style="1" customWidth="1"/>
    <col min="4107" max="4107" width="15.140625" style="1" customWidth="1"/>
    <col min="4108" max="4353" width="9.140625" style="1"/>
    <col min="4354" max="4354" width="11" style="1" customWidth="1"/>
    <col min="4355" max="4355" width="11.140625" style="1" customWidth="1"/>
    <col min="4356" max="4356" width="9.140625" style="1"/>
    <col min="4357" max="4357" width="10.5703125" style="1" customWidth="1"/>
    <col min="4358" max="4358" width="11.42578125" style="1" customWidth="1"/>
    <col min="4359" max="4359" width="12.85546875" style="1" customWidth="1"/>
    <col min="4360" max="4360" width="18.85546875" style="1" customWidth="1"/>
    <col min="4361" max="4361" width="12" style="1" customWidth="1"/>
    <col min="4362" max="4362" width="13" style="1" customWidth="1"/>
    <col min="4363" max="4363" width="15.140625" style="1" customWidth="1"/>
    <col min="4364" max="4609" width="9.140625" style="1"/>
    <col min="4610" max="4610" width="11" style="1" customWidth="1"/>
    <col min="4611" max="4611" width="11.140625" style="1" customWidth="1"/>
    <col min="4612" max="4612" width="9.140625" style="1"/>
    <col min="4613" max="4613" width="10.5703125" style="1" customWidth="1"/>
    <col min="4614" max="4614" width="11.42578125" style="1" customWidth="1"/>
    <col min="4615" max="4615" width="12.85546875" style="1" customWidth="1"/>
    <col min="4616" max="4616" width="18.85546875" style="1" customWidth="1"/>
    <col min="4617" max="4617" width="12" style="1" customWidth="1"/>
    <col min="4618" max="4618" width="13" style="1" customWidth="1"/>
    <col min="4619" max="4619" width="15.140625" style="1" customWidth="1"/>
    <col min="4620" max="4865" width="9.140625" style="1"/>
    <col min="4866" max="4866" width="11" style="1" customWidth="1"/>
    <col min="4867" max="4867" width="11.140625" style="1" customWidth="1"/>
    <col min="4868" max="4868" width="9.140625" style="1"/>
    <col min="4869" max="4869" width="10.5703125" style="1" customWidth="1"/>
    <col min="4870" max="4870" width="11.42578125" style="1" customWidth="1"/>
    <col min="4871" max="4871" width="12.85546875" style="1" customWidth="1"/>
    <col min="4872" max="4872" width="18.85546875" style="1" customWidth="1"/>
    <col min="4873" max="4873" width="12" style="1" customWidth="1"/>
    <col min="4874" max="4874" width="13" style="1" customWidth="1"/>
    <col min="4875" max="4875" width="15.140625" style="1" customWidth="1"/>
    <col min="4876" max="5121" width="9.140625" style="1"/>
    <col min="5122" max="5122" width="11" style="1" customWidth="1"/>
    <col min="5123" max="5123" width="11.140625" style="1" customWidth="1"/>
    <col min="5124" max="5124" width="9.140625" style="1"/>
    <col min="5125" max="5125" width="10.5703125" style="1" customWidth="1"/>
    <col min="5126" max="5126" width="11.42578125" style="1" customWidth="1"/>
    <col min="5127" max="5127" width="12.85546875" style="1" customWidth="1"/>
    <col min="5128" max="5128" width="18.85546875" style="1" customWidth="1"/>
    <col min="5129" max="5129" width="12" style="1" customWidth="1"/>
    <col min="5130" max="5130" width="13" style="1" customWidth="1"/>
    <col min="5131" max="5131" width="15.140625" style="1" customWidth="1"/>
    <col min="5132" max="5377" width="9.140625" style="1"/>
    <col min="5378" max="5378" width="11" style="1" customWidth="1"/>
    <col min="5379" max="5379" width="11.140625" style="1" customWidth="1"/>
    <col min="5380" max="5380" width="9.140625" style="1"/>
    <col min="5381" max="5381" width="10.5703125" style="1" customWidth="1"/>
    <col min="5382" max="5382" width="11.42578125" style="1" customWidth="1"/>
    <col min="5383" max="5383" width="12.85546875" style="1" customWidth="1"/>
    <col min="5384" max="5384" width="18.85546875" style="1" customWidth="1"/>
    <col min="5385" max="5385" width="12" style="1" customWidth="1"/>
    <col min="5386" max="5386" width="13" style="1" customWidth="1"/>
    <col min="5387" max="5387" width="15.140625" style="1" customWidth="1"/>
    <col min="5388" max="5633" width="9.140625" style="1"/>
    <col min="5634" max="5634" width="11" style="1" customWidth="1"/>
    <col min="5635" max="5635" width="11.140625" style="1" customWidth="1"/>
    <col min="5636" max="5636" width="9.140625" style="1"/>
    <col min="5637" max="5637" width="10.5703125" style="1" customWidth="1"/>
    <col min="5638" max="5638" width="11.42578125" style="1" customWidth="1"/>
    <col min="5639" max="5639" width="12.85546875" style="1" customWidth="1"/>
    <col min="5640" max="5640" width="18.85546875" style="1" customWidth="1"/>
    <col min="5641" max="5641" width="12" style="1" customWidth="1"/>
    <col min="5642" max="5642" width="13" style="1" customWidth="1"/>
    <col min="5643" max="5643" width="15.140625" style="1" customWidth="1"/>
    <col min="5644" max="5889" width="9.140625" style="1"/>
    <col min="5890" max="5890" width="11" style="1" customWidth="1"/>
    <col min="5891" max="5891" width="11.140625" style="1" customWidth="1"/>
    <col min="5892" max="5892" width="9.140625" style="1"/>
    <col min="5893" max="5893" width="10.5703125" style="1" customWidth="1"/>
    <col min="5894" max="5894" width="11.42578125" style="1" customWidth="1"/>
    <col min="5895" max="5895" width="12.85546875" style="1" customWidth="1"/>
    <col min="5896" max="5896" width="18.85546875" style="1" customWidth="1"/>
    <col min="5897" max="5897" width="12" style="1" customWidth="1"/>
    <col min="5898" max="5898" width="13" style="1" customWidth="1"/>
    <col min="5899" max="5899" width="15.140625" style="1" customWidth="1"/>
    <col min="5900" max="6145" width="9.140625" style="1"/>
    <col min="6146" max="6146" width="11" style="1" customWidth="1"/>
    <col min="6147" max="6147" width="11.140625" style="1" customWidth="1"/>
    <col min="6148" max="6148" width="9.140625" style="1"/>
    <col min="6149" max="6149" width="10.5703125" style="1" customWidth="1"/>
    <col min="6150" max="6150" width="11.42578125" style="1" customWidth="1"/>
    <col min="6151" max="6151" width="12.85546875" style="1" customWidth="1"/>
    <col min="6152" max="6152" width="18.85546875" style="1" customWidth="1"/>
    <col min="6153" max="6153" width="12" style="1" customWidth="1"/>
    <col min="6154" max="6154" width="13" style="1" customWidth="1"/>
    <col min="6155" max="6155" width="15.140625" style="1" customWidth="1"/>
    <col min="6156" max="6401" width="9.140625" style="1"/>
    <col min="6402" max="6402" width="11" style="1" customWidth="1"/>
    <col min="6403" max="6403" width="11.140625" style="1" customWidth="1"/>
    <col min="6404" max="6404" width="9.140625" style="1"/>
    <col min="6405" max="6405" width="10.5703125" style="1" customWidth="1"/>
    <col min="6406" max="6406" width="11.42578125" style="1" customWidth="1"/>
    <col min="6407" max="6407" width="12.85546875" style="1" customWidth="1"/>
    <col min="6408" max="6408" width="18.85546875" style="1" customWidth="1"/>
    <col min="6409" max="6409" width="12" style="1" customWidth="1"/>
    <col min="6410" max="6410" width="13" style="1" customWidth="1"/>
    <col min="6411" max="6411" width="15.140625" style="1" customWidth="1"/>
    <col min="6412" max="6657" width="9.140625" style="1"/>
    <col min="6658" max="6658" width="11" style="1" customWidth="1"/>
    <col min="6659" max="6659" width="11.140625" style="1" customWidth="1"/>
    <col min="6660" max="6660" width="9.140625" style="1"/>
    <col min="6661" max="6661" width="10.5703125" style="1" customWidth="1"/>
    <col min="6662" max="6662" width="11.42578125" style="1" customWidth="1"/>
    <col min="6663" max="6663" width="12.85546875" style="1" customWidth="1"/>
    <col min="6664" max="6664" width="18.85546875" style="1" customWidth="1"/>
    <col min="6665" max="6665" width="12" style="1" customWidth="1"/>
    <col min="6666" max="6666" width="13" style="1" customWidth="1"/>
    <col min="6667" max="6667" width="15.140625" style="1" customWidth="1"/>
    <col min="6668" max="6913" width="9.140625" style="1"/>
    <col min="6914" max="6914" width="11" style="1" customWidth="1"/>
    <col min="6915" max="6915" width="11.140625" style="1" customWidth="1"/>
    <col min="6916" max="6916" width="9.140625" style="1"/>
    <col min="6917" max="6917" width="10.5703125" style="1" customWidth="1"/>
    <col min="6918" max="6918" width="11.42578125" style="1" customWidth="1"/>
    <col min="6919" max="6919" width="12.85546875" style="1" customWidth="1"/>
    <col min="6920" max="6920" width="18.85546875" style="1" customWidth="1"/>
    <col min="6921" max="6921" width="12" style="1" customWidth="1"/>
    <col min="6922" max="6922" width="13" style="1" customWidth="1"/>
    <col min="6923" max="6923" width="15.140625" style="1" customWidth="1"/>
    <col min="6924" max="7169" width="9.140625" style="1"/>
    <col min="7170" max="7170" width="11" style="1" customWidth="1"/>
    <col min="7171" max="7171" width="11.140625" style="1" customWidth="1"/>
    <col min="7172" max="7172" width="9.140625" style="1"/>
    <col min="7173" max="7173" width="10.5703125" style="1" customWidth="1"/>
    <col min="7174" max="7174" width="11.42578125" style="1" customWidth="1"/>
    <col min="7175" max="7175" width="12.85546875" style="1" customWidth="1"/>
    <col min="7176" max="7176" width="18.85546875" style="1" customWidth="1"/>
    <col min="7177" max="7177" width="12" style="1" customWidth="1"/>
    <col min="7178" max="7178" width="13" style="1" customWidth="1"/>
    <col min="7179" max="7179" width="15.140625" style="1" customWidth="1"/>
    <col min="7180" max="7425" width="9.140625" style="1"/>
    <col min="7426" max="7426" width="11" style="1" customWidth="1"/>
    <col min="7427" max="7427" width="11.140625" style="1" customWidth="1"/>
    <col min="7428" max="7428" width="9.140625" style="1"/>
    <col min="7429" max="7429" width="10.5703125" style="1" customWidth="1"/>
    <col min="7430" max="7430" width="11.42578125" style="1" customWidth="1"/>
    <col min="7431" max="7431" width="12.85546875" style="1" customWidth="1"/>
    <col min="7432" max="7432" width="18.85546875" style="1" customWidth="1"/>
    <col min="7433" max="7433" width="12" style="1" customWidth="1"/>
    <col min="7434" max="7434" width="13" style="1" customWidth="1"/>
    <col min="7435" max="7435" width="15.140625" style="1" customWidth="1"/>
    <col min="7436" max="7681" width="9.140625" style="1"/>
    <col min="7682" max="7682" width="11" style="1" customWidth="1"/>
    <col min="7683" max="7683" width="11.140625" style="1" customWidth="1"/>
    <col min="7684" max="7684" width="9.140625" style="1"/>
    <col min="7685" max="7685" width="10.5703125" style="1" customWidth="1"/>
    <col min="7686" max="7686" width="11.42578125" style="1" customWidth="1"/>
    <col min="7687" max="7687" width="12.85546875" style="1" customWidth="1"/>
    <col min="7688" max="7688" width="18.85546875" style="1" customWidth="1"/>
    <col min="7689" max="7689" width="12" style="1" customWidth="1"/>
    <col min="7690" max="7690" width="13" style="1" customWidth="1"/>
    <col min="7691" max="7691" width="15.140625" style="1" customWidth="1"/>
    <col min="7692" max="7937" width="9.140625" style="1"/>
    <col min="7938" max="7938" width="11" style="1" customWidth="1"/>
    <col min="7939" max="7939" width="11.140625" style="1" customWidth="1"/>
    <col min="7940" max="7940" width="9.140625" style="1"/>
    <col min="7941" max="7941" width="10.5703125" style="1" customWidth="1"/>
    <col min="7942" max="7942" width="11.42578125" style="1" customWidth="1"/>
    <col min="7943" max="7943" width="12.85546875" style="1" customWidth="1"/>
    <col min="7944" max="7944" width="18.85546875" style="1" customWidth="1"/>
    <col min="7945" max="7945" width="12" style="1" customWidth="1"/>
    <col min="7946" max="7946" width="13" style="1" customWidth="1"/>
    <col min="7947" max="7947" width="15.140625" style="1" customWidth="1"/>
    <col min="7948" max="8193" width="9.140625" style="1"/>
    <col min="8194" max="8194" width="11" style="1" customWidth="1"/>
    <col min="8195" max="8195" width="11.140625" style="1" customWidth="1"/>
    <col min="8196" max="8196" width="9.140625" style="1"/>
    <col min="8197" max="8197" width="10.5703125" style="1" customWidth="1"/>
    <col min="8198" max="8198" width="11.42578125" style="1" customWidth="1"/>
    <col min="8199" max="8199" width="12.85546875" style="1" customWidth="1"/>
    <col min="8200" max="8200" width="18.85546875" style="1" customWidth="1"/>
    <col min="8201" max="8201" width="12" style="1" customWidth="1"/>
    <col min="8202" max="8202" width="13" style="1" customWidth="1"/>
    <col min="8203" max="8203" width="15.140625" style="1" customWidth="1"/>
    <col min="8204" max="8449" width="9.140625" style="1"/>
    <col min="8450" max="8450" width="11" style="1" customWidth="1"/>
    <col min="8451" max="8451" width="11.140625" style="1" customWidth="1"/>
    <col min="8452" max="8452" width="9.140625" style="1"/>
    <col min="8453" max="8453" width="10.5703125" style="1" customWidth="1"/>
    <col min="8454" max="8454" width="11.42578125" style="1" customWidth="1"/>
    <col min="8455" max="8455" width="12.85546875" style="1" customWidth="1"/>
    <col min="8456" max="8456" width="18.85546875" style="1" customWidth="1"/>
    <col min="8457" max="8457" width="12" style="1" customWidth="1"/>
    <col min="8458" max="8458" width="13" style="1" customWidth="1"/>
    <col min="8459" max="8459" width="15.140625" style="1" customWidth="1"/>
    <col min="8460" max="8705" width="9.140625" style="1"/>
    <col min="8706" max="8706" width="11" style="1" customWidth="1"/>
    <col min="8707" max="8707" width="11.140625" style="1" customWidth="1"/>
    <col min="8708" max="8708" width="9.140625" style="1"/>
    <col min="8709" max="8709" width="10.5703125" style="1" customWidth="1"/>
    <col min="8710" max="8710" width="11.42578125" style="1" customWidth="1"/>
    <col min="8711" max="8711" width="12.85546875" style="1" customWidth="1"/>
    <col min="8712" max="8712" width="18.85546875" style="1" customWidth="1"/>
    <col min="8713" max="8713" width="12" style="1" customWidth="1"/>
    <col min="8714" max="8714" width="13" style="1" customWidth="1"/>
    <col min="8715" max="8715" width="15.140625" style="1" customWidth="1"/>
    <col min="8716" max="8961" width="9.140625" style="1"/>
    <col min="8962" max="8962" width="11" style="1" customWidth="1"/>
    <col min="8963" max="8963" width="11.140625" style="1" customWidth="1"/>
    <col min="8964" max="8964" width="9.140625" style="1"/>
    <col min="8965" max="8965" width="10.5703125" style="1" customWidth="1"/>
    <col min="8966" max="8966" width="11.42578125" style="1" customWidth="1"/>
    <col min="8967" max="8967" width="12.85546875" style="1" customWidth="1"/>
    <col min="8968" max="8968" width="18.85546875" style="1" customWidth="1"/>
    <col min="8969" max="8969" width="12" style="1" customWidth="1"/>
    <col min="8970" max="8970" width="13" style="1" customWidth="1"/>
    <col min="8971" max="8971" width="15.140625" style="1" customWidth="1"/>
    <col min="8972" max="9217" width="9.140625" style="1"/>
    <col min="9218" max="9218" width="11" style="1" customWidth="1"/>
    <col min="9219" max="9219" width="11.140625" style="1" customWidth="1"/>
    <col min="9220" max="9220" width="9.140625" style="1"/>
    <col min="9221" max="9221" width="10.5703125" style="1" customWidth="1"/>
    <col min="9222" max="9222" width="11.42578125" style="1" customWidth="1"/>
    <col min="9223" max="9223" width="12.85546875" style="1" customWidth="1"/>
    <col min="9224" max="9224" width="18.85546875" style="1" customWidth="1"/>
    <col min="9225" max="9225" width="12" style="1" customWidth="1"/>
    <col min="9226" max="9226" width="13" style="1" customWidth="1"/>
    <col min="9227" max="9227" width="15.140625" style="1" customWidth="1"/>
    <col min="9228" max="9473" width="9.140625" style="1"/>
    <col min="9474" max="9474" width="11" style="1" customWidth="1"/>
    <col min="9475" max="9475" width="11.140625" style="1" customWidth="1"/>
    <col min="9476" max="9476" width="9.140625" style="1"/>
    <col min="9477" max="9477" width="10.5703125" style="1" customWidth="1"/>
    <col min="9478" max="9478" width="11.42578125" style="1" customWidth="1"/>
    <col min="9479" max="9479" width="12.85546875" style="1" customWidth="1"/>
    <col min="9480" max="9480" width="18.85546875" style="1" customWidth="1"/>
    <col min="9481" max="9481" width="12" style="1" customWidth="1"/>
    <col min="9482" max="9482" width="13" style="1" customWidth="1"/>
    <col min="9483" max="9483" width="15.140625" style="1" customWidth="1"/>
    <col min="9484" max="9729" width="9.140625" style="1"/>
    <col min="9730" max="9730" width="11" style="1" customWidth="1"/>
    <col min="9731" max="9731" width="11.140625" style="1" customWidth="1"/>
    <col min="9732" max="9732" width="9.140625" style="1"/>
    <col min="9733" max="9733" width="10.5703125" style="1" customWidth="1"/>
    <col min="9734" max="9734" width="11.42578125" style="1" customWidth="1"/>
    <col min="9735" max="9735" width="12.85546875" style="1" customWidth="1"/>
    <col min="9736" max="9736" width="18.85546875" style="1" customWidth="1"/>
    <col min="9737" max="9737" width="12" style="1" customWidth="1"/>
    <col min="9738" max="9738" width="13" style="1" customWidth="1"/>
    <col min="9739" max="9739" width="15.140625" style="1" customWidth="1"/>
    <col min="9740" max="9985" width="9.140625" style="1"/>
    <col min="9986" max="9986" width="11" style="1" customWidth="1"/>
    <col min="9987" max="9987" width="11.140625" style="1" customWidth="1"/>
    <col min="9988" max="9988" width="9.140625" style="1"/>
    <col min="9989" max="9989" width="10.5703125" style="1" customWidth="1"/>
    <col min="9990" max="9990" width="11.42578125" style="1" customWidth="1"/>
    <col min="9991" max="9991" width="12.85546875" style="1" customWidth="1"/>
    <col min="9992" max="9992" width="18.85546875" style="1" customWidth="1"/>
    <col min="9993" max="9993" width="12" style="1" customWidth="1"/>
    <col min="9994" max="9994" width="13" style="1" customWidth="1"/>
    <col min="9995" max="9995" width="15.140625" style="1" customWidth="1"/>
    <col min="9996" max="10241" width="9.140625" style="1"/>
    <col min="10242" max="10242" width="11" style="1" customWidth="1"/>
    <col min="10243" max="10243" width="11.140625" style="1" customWidth="1"/>
    <col min="10244" max="10244" width="9.140625" style="1"/>
    <col min="10245" max="10245" width="10.5703125" style="1" customWidth="1"/>
    <col min="10246" max="10246" width="11.42578125" style="1" customWidth="1"/>
    <col min="10247" max="10247" width="12.85546875" style="1" customWidth="1"/>
    <col min="10248" max="10248" width="18.85546875" style="1" customWidth="1"/>
    <col min="10249" max="10249" width="12" style="1" customWidth="1"/>
    <col min="10250" max="10250" width="13" style="1" customWidth="1"/>
    <col min="10251" max="10251" width="15.140625" style="1" customWidth="1"/>
    <col min="10252" max="10497" width="9.140625" style="1"/>
    <col min="10498" max="10498" width="11" style="1" customWidth="1"/>
    <col min="10499" max="10499" width="11.140625" style="1" customWidth="1"/>
    <col min="10500" max="10500" width="9.140625" style="1"/>
    <col min="10501" max="10501" width="10.5703125" style="1" customWidth="1"/>
    <col min="10502" max="10502" width="11.42578125" style="1" customWidth="1"/>
    <col min="10503" max="10503" width="12.85546875" style="1" customWidth="1"/>
    <col min="10504" max="10504" width="18.85546875" style="1" customWidth="1"/>
    <col min="10505" max="10505" width="12" style="1" customWidth="1"/>
    <col min="10506" max="10506" width="13" style="1" customWidth="1"/>
    <col min="10507" max="10507" width="15.140625" style="1" customWidth="1"/>
    <col min="10508" max="10753" width="9.140625" style="1"/>
    <col min="10754" max="10754" width="11" style="1" customWidth="1"/>
    <col min="10755" max="10755" width="11.140625" style="1" customWidth="1"/>
    <col min="10756" max="10756" width="9.140625" style="1"/>
    <col min="10757" max="10757" width="10.5703125" style="1" customWidth="1"/>
    <col min="10758" max="10758" width="11.42578125" style="1" customWidth="1"/>
    <col min="10759" max="10759" width="12.85546875" style="1" customWidth="1"/>
    <col min="10760" max="10760" width="18.85546875" style="1" customWidth="1"/>
    <col min="10761" max="10761" width="12" style="1" customWidth="1"/>
    <col min="10762" max="10762" width="13" style="1" customWidth="1"/>
    <col min="10763" max="10763" width="15.140625" style="1" customWidth="1"/>
    <col min="10764" max="11009" width="9.140625" style="1"/>
    <col min="11010" max="11010" width="11" style="1" customWidth="1"/>
    <col min="11011" max="11011" width="11.140625" style="1" customWidth="1"/>
    <col min="11012" max="11012" width="9.140625" style="1"/>
    <col min="11013" max="11013" width="10.5703125" style="1" customWidth="1"/>
    <col min="11014" max="11014" width="11.42578125" style="1" customWidth="1"/>
    <col min="11015" max="11015" width="12.85546875" style="1" customWidth="1"/>
    <col min="11016" max="11016" width="18.85546875" style="1" customWidth="1"/>
    <col min="11017" max="11017" width="12" style="1" customWidth="1"/>
    <col min="11018" max="11018" width="13" style="1" customWidth="1"/>
    <col min="11019" max="11019" width="15.140625" style="1" customWidth="1"/>
    <col min="11020" max="11265" width="9.140625" style="1"/>
    <col min="11266" max="11266" width="11" style="1" customWidth="1"/>
    <col min="11267" max="11267" width="11.140625" style="1" customWidth="1"/>
    <col min="11268" max="11268" width="9.140625" style="1"/>
    <col min="11269" max="11269" width="10.5703125" style="1" customWidth="1"/>
    <col min="11270" max="11270" width="11.42578125" style="1" customWidth="1"/>
    <col min="11271" max="11271" width="12.85546875" style="1" customWidth="1"/>
    <col min="11272" max="11272" width="18.85546875" style="1" customWidth="1"/>
    <col min="11273" max="11273" width="12" style="1" customWidth="1"/>
    <col min="11274" max="11274" width="13" style="1" customWidth="1"/>
    <col min="11275" max="11275" width="15.140625" style="1" customWidth="1"/>
    <col min="11276" max="11521" width="9.140625" style="1"/>
    <col min="11522" max="11522" width="11" style="1" customWidth="1"/>
    <col min="11523" max="11523" width="11.140625" style="1" customWidth="1"/>
    <col min="11524" max="11524" width="9.140625" style="1"/>
    <col min="11525" max="11525" width="10.5703125" style="1" customWidth="1"/>
    <col min="11526" max="11526" width="11.42578125" style="1" customWidth="1"/>
    <col min="11527" max="11527" width="12.85546875" style="1" customWidth="1"/>
    <col min="11528" max="11528" width="18.85546875" style="1" customWidth="1"/>
    <col min="11529" max="11529" width="12" style="1" customWidth="1"/>
    <col min="11530" max="11530" width="13" style="1" customWidth="1"/>
    <col min="11531" max="11531" width="15.140625" style="1" customWidth="1"/>
    <col min="11532" max="11777" width="9.140625" style="1"/>
    <col min="11778" max="11778" width="11" style="1" customWidth="1"/>
    <col min="11779" max="11779" width="11.140625" style="1" customWidth="1"/>
    <col min="11780" max="11780" width="9.140625" style="1"/>
    <col min="11781" max="11781" width="10.5703125" style="1" customWidth="1"/>
    <col min="11782" max="11782" width="11.42578125" style="1" customWidth="1"/>
    <col min="11783" max="11783" width="12.85546875" style="1" customWidth="1"/>
    <col min="11784" max="11784" width="18.85546875" style="1" customWidth="1"/>
    <col min="11785" max="11785" width="12" style="1" customWidth="1"/>
    <col min="11786" max="11786" width="13" style="1" customWidth="1"/>
    <col min="11787" max="11787" width="15.140625" style="1" customWidth="1"/>
    <col min="11788" max="12033" width="9.140625" style="1"/>
    <col min="12034" max="12034" width="11" style="1" customWidth="1"/>
    <col min="12035" max="12035" width="11.140625" style="1" customWidth="1"/>
    <col min="12036" max="12036" width="9.140625" style="1"/>
    <col min="12037" max="12037" width="10.5703125" style="1" customWidth="1"/>
    <col min="12038" max="12038" width="11.42578125" style="1" customWidth="1"/>
    <col min="12039" max="12039" width="12.85546875" style="1" customWidth="1"/>
    <col min="12040" max="12040" width="18.85546875" style="1" customWidth="1"/>
    <col min="12041" max="12041" width="12" style="1" customWidth="1"/>
    <col min="12042" max="12042" width="13" style="1" customWidth="1"/>
    <col min="12043" max="12043" width="15.140625" style="1" customWidth="1"/>
    <col min="12044" max="12289" width="9.140625" style="1"/>
    <col min="12290" max="12290" width="11" style="1" customWidth="1"/>
    <col min="12291" max="12291" width="11.140625" style="1" customWidth="1"/>
    <col min="12292" max="12292" width="9.140625" style="1"/>
    <col min="12293" max="12293" width="10.5703125" style="1" customWidth="1"/>
    <col min="12294" max="12294" width="11.42578125" style="1" customWidth="1"/>
    <col min="12295" max="12295" width="12.85546875" style="1" customWidth="1"/>
    <col min="12296" max="12296" width="18.85546875" style="1" customWidth="1"/>
    <col min="12297" max="12297" width="12" style="1" customWidth="1"/>
    <col min="12298" max="12298" width="13" style="1" customWidth="1"/>
    <col min="12299" max="12299" width="15.140625" style="1" customWidth="1"/>
    <col min="12300" max="12545" width="9.140625" style="1"/>
    <col min="12546" max="12546" width="11" style="1" customWidth="1"/>
    <col min="12547" max="12547" width="11.140625" style="1" customWidth="1"/>
    <col min="12548" max="12548" width="9.140625" style="1"/>
    <col min="12549" max="12549" width="10.5703125" style="1" customWidth="1"/>
    <col min="12550" max="12550" width="11.42578125" style="1" customWidth="1"/>
    <col min="12551" max="12551" width="12.85546875" style="1" customWidth="1"/>
    <col min="12552" max="12552" width="18.85546875" style="1" customWidth="1"/>
    <col min="12553" max="12553" width="12" style="1" customWidth="1"/>
    <col min="12554" max="12554" width="13" style="1" customWidth="1"/>
    <col min="12555" max="12555" width="15.140625" style="1" customWidth="1"/>
    <col min="12556" max="12801" width="9.140625" style="1"/>
    <col min="12802" max="12802" width="11" style="1" customWidth="1"/>
    <col min="12803" max="12803" width="11.140625" style="1" customWidth="1"/>
    <col min="12804" max="12804" width="9.140625" style="1"/>
    <col min="12805" max="12805" width="10.5703125" style="1" customWidth="1"/>
    <col min="12806" max="12806" width="11.42578125" style="1" customWidth="1"/>
    <col min="12807" max="12807" width="12.85546875" style="1" customWidth="1"/>
    <col min="12808" max="12808" width="18.85546875" style="1" customWidth="1"/>
    <col min="12809" max="12809" width="12" style="1" customWidth="1"/>
    <col min="12810" max="12810" width="13" style="1" customWidth="1"/>
    <col min="12811" max="12811" width="15.140625" style="1" customWidth="1"/>
    <col min="12812" max="13057" width="9.140625" style="1"/>
    <col min="13058" max="13058" width="11" style="1" customWidth="1"/>
    <col min="13059" max="13059" width="11.140625" style="1" customWidth="1"/>
    <col min="13060" max="13060" width="9.140625" style="1"/>
    <col min="13061" max="13061" width="10.5703125" style="1" customWidth="1"/>
    <col min="13062" max="13062" width="11.42578125" style="1" customWidth="1"/>
    <col min="13063" max="13063" width="12.85546875" style="1" customWidth="1"/>
    <col min="13064" max="13064" width="18.85546875" style="1" customWidth="1"/>
    <col min="13065" max="13065" width="12" style="1" customWidth="1"/>
    <col min="13066" max="13066" width="13" style="1" customWidth="1"/>
    <col min="13067" max="13067" width="15.140625" style="1" customWidth="1"/>
    <col min="13068" max="13313" width="9.140625" style="1"/>
    <col min="13314" max="13314" width="11" style="1" customWidth="1"/>
    <col min="13315" max="13315" width="11.140625" style="1" customWidth="1"/>
    <col min="13316" max="13316" width="9.140625" style="1"/>
    <col min="13317" max="13317" width="10.5703125" style="1" customWidth="1"/>
    <col min="13318" max="13318" width="11.42578125" style="1" customWidth="1"/>
    <col min="13319" max="13319" width="12.85546875" style="1" customWidth="1"/>
    <col min="13320" max="13320" width="18.85546875" style="1" customWidth="1"/>
    <col min="13321" max="13321" width="12" style="1" customWidth="1"/>
    <col min="13322" max="13322" width="13" style="1" customWidth="1"/>
    <col min="13323" max="13323" width="15.140625" style="1" customWidth="1"/>
    <col min="13324" max="13569" width="9.140625" style="1"/>
    <col min="13570" max="13570" width="11" style="1" customWidth="1"/>
    <col min="13571" max="13571" width="11.140625" style="1" customWidth="1"/>
    <col min="13572" max="13572" width="9.140625" style="1"/>
    <col min="13573" max="13573" width="10.5703125" style="1" customWidth="1"/>
    <col min="13574" max="13574" width="11.42578125" style="1" customWidth="1"/>
    <col min="13575" max="13575" width="12.85546875" style="1" customWidth="1"/>
    <col min="13576" max="13576" width="18.85546875" style="1" customWidth="1"/>
    <col min="13577" max="13577" width="12" style="1" customWidth="1"/>
    <col min="13578" max="13578" width="13" style="1" customWidth="1"/>
    <col min="13579" max="13579" width="15.140625" style="1" customWidth="1"/>
    <col min="13580" max="13825" width="9.140625" style="1"/>
    <col min="13826" max="13826" width="11" style="1" customWidth="1"/>
    <col min="13827" max="13827" width="11.140625" style="1" customWidth="1"/>
    <col min="13828" max="13828" width="9.140625" style="1"/>
    <col min="13829" max="13829" width="10.5703125" style="1" customWidth="1"/>
    <col min="13830" max="13830" width="11.42578125" style="1" customWidth="1"/>
    <col min="13831" max="13831" width="12.85546875" style="1" customWidth="1"/>
    <col min="13832" max="13832" width="18.85546875" style="1" customWidth="1"/>
    <col min="13833" max="13833" width="12" style="1" customWidth="1"/>
    <col min="13834" max="13834" width="13" style="1" customWidth="1"/>
    <col min="13835" max="13835" width="15.140625" style="1" customWidth="1"/>
    <col min="13836" max="14081" width="9.140625" style="1"/>
    <col min="14082" max="14082" width="11" style="1" customWidth="1"/>
    <col min="14083" max="14083" width="11.140625" style="1" customWidth="1"/>
    <col min="14084" max="14084" width="9.140625" style="1"/>
    <col min="14085" max="14085" width="10.5703125" style="1" customWidth="1"/>
    <col min="14086" max="14086" width="11.42578125" style="1" customWidth="1"/>
    <col min="14087" max="14087" width="12.85546875" style="1" customWidth="1"/>
    <col min="14088" max="14088" width="18.85546875" style="1" customWidth="1"/>
    <col min="14089" max="14089" width="12" style="1" customWidth="1"/>
    <col min="14090" max="14090" width="13" style="1" customWidth="1"/>
    <col min="14091" max="14091" width="15.140625" style="1" customWidth="1"/>
    <col min="14092" max="14337" width="9.140625" style="1"/>
    <col min="14338" max="14338" width="11" style="1" customWidth="1"/>
    <col min="14339" max="14339" width="11.140625" style="1" customWidth="1"/>
    <col min="14340" max="14340" width="9.140625" style="1"/>
    <col min="14341" max="14341" width="10.5703125" style="1" customWidth="1"/>
    <col min="14342" max="14342" width="11.42578125" style="1" customWidth="1"/>
    <col min="14343" max="14343" width="12.85546875" style="1" customWidth="1"/>
    <col min="14344" max="14344" width="18.85546875" style="1" customWidth="1"/>
    <col min="14345" max="14345" width="12" style="1" customWidth="1"/>
    <col min="14346" max="14346" width="13" style="1" customWidth="1"/>
    <col min="14347" max="14347" width="15.140625" style="1" customWidth="1"/>
    <col min="14348" max="14593" width="9.140625" style="1"/>
    <col min="14594" max="14594" width="11" style="1" customWidth="1"/>
    <col min="14595" max="14595" width="11.140625" style="1" customWidth="1"/>
    <col min="14596" max="14596" width="9.140625" style="1"/>
    <col min="14597" max="14597" width="10.5703125" style="1" customWidth="1"/>
    <col min="14598" max="14598" width="11.42578125" style="1" customWidth="1"/>
    <col min="14599" max="14599" width="12.85546875" style="1" customWidth="1"/>
    <col min="14600" max="14600" width="18.85546875" style="1" customWidth="1"/>
    <col min="14601" max="14601" width="12" style="1" customWidth="1"/>
    <col min="14602" max="14602" width="13" style="1" customWidth="1"/>
    <col min="14603" max="14603" width="15.140625" style="1" customWidth="1"/>
    <col min="14604" max="14849" width="9.140625" style="1"/>
    <col min="14850" max="14850" width="11" style="1" customWidth="1"/>
    <col min="14851" max="14851" width="11.140625" style="1" customWidth="1"/>
    <col min="14852" max="14852" width="9.140625" style="1"/>
    <col min="14853" max="14853" width="10.5703125" style="1" customWidth="1"/>
    <col min="14854" max="14854" width="11.42578125" style="1" customWidth="1"/>
    <col min="14855" max="14855" width="12.85546875" style="1" customWidth="1"/>
    <col min="14856" max="14856" width="18.85546875" style="1" customWidth="1"/>
    <col min="14857" max="14857" width="12" style="1" customWidth="1"/>
    <col min="14858" max="14858" width="13" style="1" customWidth="1"/>
    <col min="14859" max="14859" width="15.140625" style="1" customWidth="1"/>
    <col min="14860" max="15105" width="9.140625" style="1"/>
    <col min="15106" max="15106" width="11" style="1" customWidth="1"/>
    <col min="15107" max="15107" width="11.140625" style="1" customWidth="1"/>
    <col min="15108" max="15108" width="9.140625" style="1"/>
    <col min="15109" max="15109" width="10.5703125" style="1" customWidth="1"/>
    <col min="15110" max="15110" width="11.42578125" style="1" customWidth="1"/>
    <col min="15111" max="15111" width="12.85546875" style="1" customWidth="1"/>
    <col min="15112" max="15112" width="18.85546875" style="1" customWidth="1"/>
    <col min="15113" max="15113" width="12" style="1" customWidth="1"/>
    <col min="15114" max="15114" width="13" style="1" customWidth="1"/>
    <col min="15115" max="15115" width="15.140625" style="1" customWidth="1"/>
    <col min="15116" max="15361" width="9.140625" style="1"/>
    <col min="15362" max="15362" width="11" style="1" customWidth="1"/>
    <col min="15363" max="15363" width="11.140625" style="1" customWidth="1"/>
    <col min="15364" max="15364" width="9.140625" style="1"/>
    <col min="15365" max="15365" width="10.5703125" style="1" customWidth="1"/>
    <col min="15366" max="15366" width="11.42578125" style="1" customWidth="1"/>
    <col min="15367" max="15367" width="12.85546875" style="1" customWidth="1"/>
    <col min="15368" max="15368" width="18.85546875" style="1" customWidth="1"/>
    <col min="15369" max="15369" width="12" style="1" customWidth="1"/>
    <col min="15370" max="15370" width="13" style="1" customWidth="1"/>
    <col min="15371" max="15371" width="15.140625" style="1" customWidth="1"/>
    <col min="15372" max="15617" width="9.140625" style="1"/>
    <col min="15618" max="15618" width="11" style="1" customWidth="1"/>
    <col min="15619" max="15619" width="11.140625" style="1" customWidth="1"/>
    <col min="15620" max="15620" width="9.140625" style="1"/>
    <col min="15621" max="15621" width="10.5703125" style="1" customWidth="1"/>
    <col min="15622" max="15622" width="11.42578125" style="1" customWidth="1"/>
    <col min="15623" max="15623" width="12.85546875" style="1" customWidth="1"/>
    <col min="15624" max="15624" width="18.85546875" style="1" customWidth="1"/>
    <col min="15625" max="15625" width="12" style="1" customWidth="1"/>
    <col min="15626" max="15626" width="13" style="1" customWidth="1"/>
    <col min="15627" max="15627" width="15.140625" style="1" customWidth="1"/>
    <col min="15628" max="15873" width="9.140625" style="1"/>
    <col min="15874" max="15874" width="11" style="1" customWidth="1"/>
    <col min="15875" max="15875" width="11.140625" style="1" customWidth="1"/>
    <col min="15876" max="15876" width="9.140625" style="1"/>
    <col min="15877" max="15877" width="10.5703125" style="1" customWidth="1"/>
    <col min="15878" max="15878" width="11.42578125" style="1" customWidth="1"/>
    <col min="15879" max="15879" width="12.85546875" style="1" customWidth="1"/>
    <col min="15880" max="15880" width="18.85546875" style="1" customWidth="1"/>
    <col min="15881" max="15881" width="12" style="1" customWidth="1"/>
    <col min="15882" max="15882" width="13" style="1" customWidth="1"/>
    <col min="15883" max="15883" width="15.140625" style="1" customWidth="1"/>
    <col min="15884" max="16129" width="9.140625" style="1"/>
    <col min="16130" max="16130" width="11" style="1" customWidth="1"/>
    <col min="16131" max="16131" width="11.140625" style="1" customWidth="1"/>
    <col min="16132" max="16132" width="9.140625" style="1"/>
    <col min="16133" max="16133" width="10.5703125" style="1" customWidth="1"/>
    <col min="16134" max="16134" width="11.42578125" style="1" customWidth="1"/>
    <col min="16135" max="16135" width="12.85546875" style="1" customWidth="1"/>
    <col min="16136" max="16136" width="18.85546875" style="1" customWidth="1"/>
    <col min="16137" max="16137" width="12" style="1" customWidth="1"/>
    <col min="16138" max="16138" width="13" style="1" customWidth="1"/>
    <col min="16139" max="16139" width="15.140625" style="1" customWidth="1"/>
    <col min="16140" max="16384" width="9.140625" style="1"/>
  </cols>
  <sheetData>
    <row r="1" spans="1:11" ht="57.75" customHeight="1">
      <c r="A1" s="1630"/>
      <c r="B1" s="1630"/>
      <c r="C1" s="1631"/>
      <c r="D1" s="1630"/>
      <c r="E1" s="1630"/>
      <c r="F1" s="1630"/>
      <c r="G1" s="1675" t="s">
        <v>1091</v>
      </c>
      <c r="H1" s="1675"/>
      <c r="I1" s="1675"/>
      <c r="J1" s="1675"/>
      <c r="K1" s="1675"/>
    </row>
    <row r="2" spans="1:11" ht="59.25" customHeight="1">
      <c r="A2" s="1599" t="s">
        <v>89</v>
      </c>
      <c r="B2" s="1599"/>
      <c r="C2" s="1599"/>
      <c r="D2" s="1599"/>
      <c r="E2" s="1599"/>
      <c r="F2" s="1599"/>
      <c r="G2" s="1599"/>
      <c r="H2" s="1599"/>
      <c r="I2" s="1599"/>
      <c r="J2" s="1599"/>
      <c r="K2" s="1599"/>
    </row>
    <row r="3" spans="1:11" ht="19.5" customHeight="1">
      <c r="A3" s="125"/>
      <c r="B3" s="125"/>
      <c r="C3" s="125"/>
      <c r="D3" s="125"/>
      <c r="E3" s="125"/>
      <c r="F3" s="9"/>
      <c r="G3" s="9"/>
      <c r="H3" s="9"/>
      <c r="I3" s="9"/>
      <c r="J3" s="9"/>
      <c r="K3" s="124" t="s">
        <v>24</v>
      </c>
    </row>
    <row r="4" spans="1:11" ht="38.25" customHeight="1" thickBot="1">
      <c r="A4" s="1676" t="s">
        <v>88</v>
      </c>
      <c r="B4" s="1676"/>
      <c r="C4" s="1676"/>
      <c r="D4" s="1676"/>
      <c r="E4" s="1676"/>
      <c r="F4" s="1676"/>
      <c r="G4" s="1676"/>
      <c r="H4" s="1676"/>
      <c r="I4" s="1676"/>
      <c r="J4" s="1676"/>
      <c r="K4" s="1676"/>
    </row>
    <row r="5" spans="1:11" ht="23.25" customHeight="1" thickBot="1">
      <c r="A5" s="59" t="s">
        <v>0</v>
      </c>
      <c r="B5" s="5" t="s">
        <v>87</v>
      </c>
      <c r="C5" s="59" t="s">
        <v>5</v>
      </c>
      <c r="D5" s="1677" t="s">
        <v>74</v>
      </c>
      <c r="E5" s="1678"/>
      <c r="F5" s="1678"/>
      <c r="G5" s="1678"/>
      <c r="H5" s="1678"/>
      <c r="I5" s="1679"/>
      <c r="J5" s="1680" t="s">
        <v>86</v>
      </c>
      <c r="K5" s="1681"/>
    </row>
    <row r="6" spans="1:11" ht="15">
      <c r="A6" s="1682" t="s">
        <v>13</v>
      </c>
      <c r="B6" s="1685" t="s">
        <v>20</v>
      </c>
      <c r="C6" s="1686"/>
      <c r="D6" s="1686"/>
      <c r="E6" s="1686"/>
      <c r="F6" s="1686"/>
      <c r="G6" s="1686"/>
      <c r="H6" s="1686"/>
      <c r="I6" s="1687"/>
      <c r="J6" s="1688">
        <f>SUM(J7)</f>
        <v>3177590</v>
      </c>
      <c r="K6" s="1689"/>
    </row>
    <row r="7" spans="1:11" ht="14.25">
      <c r="A7" s="1683"/>
      <c r="B7" s="1690" t="s">
        <v>14</v>
      </c>
      <c r="C7" s="1693" t="s">
        <v>15</v>
      </c>
      <c r="D7" s="1694"/>
      <c r="E7" s="1694"/>
      <c r="F7" s="1694"/>
      <c r="G7" s="1694"/>
      <c r="H7" s="1694"/>
      <c r="I7" s="1695"/>
      <c r="J7" s="1696">
        <f>SUM(J8:K9)</f>
        <v>3177590</v>
      </c>
      <c r="K7" s="1697"/>
    </row>
    <row r="8" spans="1:11" ht="15">
      <c r="A8" s="1683"/>
      <c r="B8" s="1691"/>
      <c r="C8" s="123">
        <v>2310</v>
      </c>
      <c r="D8" s="1698"/>
      <c r="E8" s="1699"/>
      <c r="F8" s="1699"/>
      <c r="G8" s="1699"/>
      <c r="H8" s="1699"/>
      <c r="I8" s="1700"/>
      <c r="J8" s="1701">
        <v>3105590</v>
      </c>
      <c r="K8" s="1702"/>
    </row>
    <row r="9" spans="1:11" ht="15.75" thickBot="1">
      <c r="A9" s="1684"/>
      <c r="B9" s="1692"/>
      <c r="C9" s="122">
        <v>2320</v>
      </c>
      <c r="D9" s="1703"/>
      <c r="E9" s="1704"/>
      <c r="F9" s="1704"/>
      <c r="G9" s="1704"/>
      <c r="H9" s="1704"/>
      <c r="I9" s="1705"/>
      <c r="J9" s="1706">
        <v>72000</v>
      </c>
      <c r="K9" s="1707"/>
    </row>
    <row r="10" spans="1:11" ht="16.5" thickBot="1">
      <c r="A10" s="1728" t="s">
        <v>19</v>
      </c>
      <c r="B10" s="1729"/>
      <c r="C10" s="1729"/>
      <c r="D10" s="1729"/>
      <c r="E10" s="1729"/>
      <c r="F10" s="1729"/>
      <c r="G10" s="1729"/>
      <c r="H10" s="1729"/>
      <c r="I10" s="1730"/>
      <c r="J10" s="1708">
        <f>SUM(J7)</f>
        <v>3177590</v>
      </c>
      <c r="K10" s="1709"/>
    </row>
    <row r="11" spans="1:11" ht="15.75">
      <c r="A11" s="121"/>
      <c r="B11" s="121"/>
      <c r="C11" s="120"/>
      <c r="D11" s="119"/>
      <c r="E11" s="119"/>
      <c r="F11" s="118"/>
      <c r="G11" s="117"/>
      <c r="H11" s="116"/>
      <c r="I11" s="116"/>
      <c r="J11" s="116"/>
      <c r="K11" s="116"/>
    </row>
    <row r="12" spans="1:11" ht="15">
      <c r="A12" s="115"/>
      <c r="B12" s="115"/>
      <c r="C12" s="113"/>
      <c r="D12" s="114"/>
      <c r="E12" s="114"/>
      <c r="F12" s="114"/>
      <c r="G12" s="114"/>
      <c r="H12" s="114"/>
      <c r="I12" s="114"/>
      <c r="J12" s="113"/>
      <c r="K12" s="112" t="s">
        <v>24</v>
      </c>
    </row>
    <row r="13" spans="1:11" ht="37.5" customHeight="1" thickBot="1">
      <c r="A13" s="1710" t="s">
        <v>85</v>
      </c>
      <c r="B13" s="1710"/>
      <c r="C13" s="1710"/>
      <c r="D13" s="1710"/>
      <c r="E13" s="1710"/>
      <c r="F13" s="1710"/>
      <c r="G13" s="1710"/>
      <c r="H13" s="1710"/>
      <c r="I13" s="1710"/>
      <c r="J13" s="1710"/>
      <c r="K13" s="1710"/>
    </row>
    <row r="14" spans="1:11" ht="15">
      <c r="A14" s="1711" t="s">
        <v>0</v>
      </c>
      <c r="B14" s="1711" t="s">
        <v>1</v>
      </c>
      <c r="C14" s="1711" t="s">
        <v>74</v>
      </c>
      <c r="D14" s="1711"/>
      <c r="E14" s="1714" t="s">
        <v>5</v>
      </c>
      <c r="F14" s="1716" t="s">
        <v>84</v>
      </c>
      <c r="G14" s="1716" t="s">
        <v>83</v>
      </c>
      <c r="H14" s="1717" t="s">
        <v>2</v>
      </c>
      <c r="I14" s="1718"/>
      <c r="J14" s="1719"/>
      <c r="K14" s="1716" t="s">
        <v>82</v>
      </c>
    </row>
    <row r="15" spans="1:11" ht="51" customHeight="1" thickBot="1">
      <c r="A15" s="1712"/>
      <c r="B15" s="1713"/>
      <c r="C15" s="1713"/>
      <c r="D15" s="1713"/>
      <c r="E15" s="1715"/>
      <c r="F15" s="1713"/>
      <c r="G15" s="1713"/>
      <c r="H15" s="111" t="s">
        <v>81</v>
      </c>
      <c r="I15" s="110" t="s">
        <v>17</v>
      </c>
      <c r="J15" s="109" t="s">
        <v>80</v>
      </c>
      <c r="K15" s="1720"/>
    </row>
    <row r="16" spans="1:11" ht="38.25" customHeight="1">
      <c r="A16" s="1721" t="s">
        <v>13</v>
      </c>
      <c r="B16" s="1722" t="s">
        <v>79</v>
      </c>
      <c r="C16" s="1723"/>
      <c r="D16" s="1723"/>
      <c r="E16" s="1724"/>
      <c r="F16" s="108">
        <f t="shared" ref="F16:K16" si="0">SUM(F17:F17)</f>
        <v>3177590</v>
      </c>
      <c r="G16" s="108">
        <f t="shared" si="0"/>
        <v>3177590</v>
      </c>
      <c r="H16" s="107">
        <f t="shared" si="0"/>
        <v>0</v>
      </c>
      <c r="I16" s="106">
        <f t="shared" si="0"/>
        <v>3177590</v>
      </c>
      <c r="J16" s="105">
        <f t="shared" si="0"/>
        <v>0</v>
      </c>
      <c r="K16" s="104">
        <f t="shared" si="0"/>
        <v>0</v>
      </c>
    </row>
    <row r="17" spans="1:11" ht="28.5" customHeight="1" thickBot="1">
      <c r="A17" s="1660"/>
      <c r="B17" s="103" t="s">
        <v>14</v>
      </c>
      <c r="C17" s="1725" t="s">
        <v>15</v>
      </c>
      <c r="D17" s="1725"/>
      <c r="E17" s="102">
        <v>2480</v>
      </c>
      <c r="F17" s="98">
        <f>SUM(G17,K17)</f>
        <v>3177590</v>
      </c>
      <c r="G17" s="98">
        <f>SUM(H17:J17)</f>
        <v>3177590</v>
      </c>
      <c r="H17" s="101">
        <v>0</v>
      </c>
      <c r="I17" s="100">
        <f>3105590+72000</f>
        <v>3177590</v>
      </c>
      <c r="J17" s="99">
        <v>0</v>
      </c>
      <c r="K17" s="98">
        <v>0</v>
      </c>
    </row>
    <row r="18" spans="1:11" ht="22.5" customHeight="1" thickBot="1">
      <c r="A18" s="1726" t="s">
        <v>69</v>
      </c>
      <c r="B18" s="1727"/>
      <c r="C18" s="1727"/>
      <c r="D18" s="1727"/>
      <c r="E18" s="1727"/>
      <c r="F18" s="56">
        <f t="shared" ref="F18:K18" si="1">F16</f>
        <v>3177590</v>
      </c>
      <c r="G18" s="56">
        <f t="shared" si="1"/>
        <v>3177590</v>
      </c>
      <c r="H18" s="55">
        <f t="shared" si="1"/>
        <v>0</v>
      </c>
      <c r="I18" s="97">
        <f t="shared" si="1"/>
        <v>3177590</v>
      </c>
      <c r="J18" s="54">
        <f t="shared" si="1"/>
        <v>0</v>
      </c>
      <c r="K18" s="56">
        <f t="shared" si="1"/>
        <v>0</v>
      </c>
    </row>
    <row r="23" spans="1:11">
      <c r="E23" s="174"/>
    </row>
  </sheetData>
  <mergeCells count="31">
    <mergeCell ref="A16:A17"/>
    <mergeCell ref="B16:E16"/>
    <mergeCell ref="C17:D17"/>
    <mergeCell ref="A18:E18"/>
    <mergeCell ref="A10:I10"/>
    <mergeCell ref="J10:K10"/>
    <mergeCell ref="A13:K13"/>
    <mergeCell ref="A14:A15"/>
    <mergeCell ref="B14:B15"/>
    <mergeCell ref="C14:D15"/>
    <mergeCell ref="E14:E15"/>
    <mergeCell ref="F14:F15"/>
    <mergeCell ref="G14:G15"/>
    <mergeCell ref="H14:J14"/>
    <mergeCell ref="K14:K15"/>
    <mergeCell ref="A6:A9"/>
    <mergeCell ref="B6:I6"/>
    <mergeCell ref="J6:K6"/>
    <mergeCell ref="B7:B9"/>
    <mergeCell ref="C7:I7"/>
    <mergeCell ref="J7:K7"/>
    <mergeCell ref="D8:I8"/>
    <mergeCell ref="J8:K8"/>
    <mergeCell ref="D9:I9"/>
    <mergeCell ref="J9:K9"/>
    <mergeCell ref="A1:F1"/>
    <mergeCell ref="G1:K1"/>
    <mergeCell ref="A2:K2"/>
    <mergeCell ref="A4:K4"/>
    <mergeCell ref="D5:I5"/>
    <mergeCell ref="J5:K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K18"/>
  <sheetViews>
    <sheetView view="pageBreakPreview" zoomScaleSheetLayoutView="100" workbookViewId="0">
      <selection activeCell="A2" sqref="A2:G2"/>
    </sheetView>
  </sheetViews>
  <sheetFormatPr defaultRowHeight="12.75"/>
  <cols>
    <col min="1" max="6" width="12.7109375" style="174" customWidth="1"/>
    <col min="7" max="7" width="60.7109375" style="174" customWidth="1"/>
    <col min="8" max="8" width="10.140625" style="1" bestFit="1" customWidth="1"/>
    <col min="9" max="9" width="10.7109375" style="1" bestFit="1" customWidth="1"/>
    <col min="10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11" ht="50.1" customHeight="1">
      <c r="A1" s="1733"/>
      <c r="B1" s="1733"/>
      <c r="C1" s="9"/>
      <c r="D1" s="9"/>
      <c r="E1" s="9"/>
      <c r="F1" s="9"/>
      <c r="G1" s="709" t="s">
        <v>1092</v>
      </c>
    </row>
    <row r="2" spans="1:11" ht="30" customHeight="1">
      <c r="A2" s="1647" t="s">
        <v>1049</v>
      </c>
      <c r="B2" s="1647"/>
      <c r="C2" s="1647"/>
      <c r="D2" s="1647"/>
      <c r="E2" s="1647"/>
      <c r="F2" s="1647"/>
      <c r="G2" s="1647"/>
    </row>
    <row r="3" spans="1:11" ht="15">
      <c r="A3" s="708"/>
      <c r="B3" s="708"/>
      <c r="C3" s="708"/>
      <c r="D3" s="708"/>
      <c r="E3" s="708"/>
      <c r="F3" s="708"/>
      <c r="G3" s="7" t="s">
        <v>24</v>
      </c>
    </row>
    <row r="4" spans="1:11">
      <c r="A4" s="1734"/>
      <c r="B4" s="1734"/>
      <c r="C4" s="1734"/>
      <c r="D4" s="1734"/>
      <c r="E4" s="1734"/>
      <c r="F4" s="1734"/>
      <c r="G4" s="1734"/>
      <c r="H4" s="938"/>
      <c r="I4" s="938"/>
      <c r="J4" s="2"/>
      <c r="K4" s="939"/>
    </row>
    <row r="5" spans="1:11" ht="18" customHeight="1" thickBot="1">
      <c r="A5" s="1735" t="s">
        <v>1050</v>
      </c>
      <c r="B5" s="1735"/>
      <c r="C5" s="1735"/>
      <c r="D5" s="1735"/>
      <c r="E5" s="1735"/>
      <c r="F5" s="1735"/>
      <c r="G5" s="1735"/>
      <c r="H5" s="940"/>
      <c r="I5" s="940"/>
      <c r="J5" s="940"/>
      <c r="K5" s="938"/>
    </row>
    <row r="6" spans="1:11" ht="20.100000000000001" customHeight="1">
      <c r="A6" s="1736" t="s">
        <v>0</v>
      </c>
      <c r="B6" s="1738" t="s">
        <v>1</v>
      </c>
      <c r="C6" s="1738" t="s">
        <v>5</v>
      </c>
      <c r="D6" s="1740" t="s">
        <v>1051</v>
      </c>
      <c r="E6" s="1738" t="s">
        <v>2</v>
      </c>
      <c r="F6" s="1738"/>
      <c r="G6" s="1742" t="s">
        <v>914</v>
      </c>
      <c r="H6" s="938"/>
      <c r="I6" s="938"/>
      <c r="J6" s="2"/>
    </row>
    <row r="7" spans="1:11" ht="20.100000000000001" customHeight="1">
      <c r="A7" s="1737"/>
      <c r="B7" s="1739"/>
      <c r="C7" s="1739"/>
      <c r="D7" s="1741"/>
      <c r="E7" s="710" t="s">
        <v>23</v>
      </c>
      <c r="F7" s="710" t="s">
        <v>22</v>
      </c>
      <c r="G7" s="1743"/>
      <c r="H7" s="938"/>
      <c r="I7" s="938"/>
      <c r="J7" s="2"/>
    </row>
    <row r="8" spans="1:11" s="174" customFormat="1" ht="30" customHeight="1">
      <c r="A8" s="941">
        <v>150</v>
      </c>
      <c r="B8" s="263">
        <v>15011</v>
      </c>
      <c r="C8" s="263">
        <v>2009</v>
      </c>
      <c r="D8" s="942">
        <f t="shared" ref="D8" si="0">SUM(E8:F8)</f>
        <v>8490</v>
      </c>
      <c r="E8" s="943">
        <v>8490</v>
      </c>
      <c r="F8" s="942">
        <v>0</v>
      </c>
      <c r="G8" s="944" t="s">
        <v>1052</v>
      </c>
      <c r="H8" s="877"/>
      <c r="I8" s="877"/>
      <c r="J8" s="877"/>
    </row>
    <row r="9" spans="1:11" ht="30" customHeight="1" thickBot="1">
      <c r="A9" s="1731" t="s">
        <v>25</v>
      </c>
      <c r="B9" s="1732"/>
      <c r="C9" s="1732"/>
      <c r="D9" s="945">
        <f>SUM(D8:D8)</f>
        <v>8490</v>
      </c>
      <c r="E9" s="945">
        <f>SUM(E8:E8)</f>
        <v>8490</v>
      </c>
      <c r="F9" s="945">
        <f>SUM(F8:F8)</f>
        <v>0</v>
      </c>
      <c r="G9" s="946"/>
      <c r="H9" s="947"/>
      <c r="I9" s="2"/>
      <c r="J9" s="2"/>
    </row>
    <row r="10" spans="1:11">
      <c r="A10" s="948"/>
      <c r="B10" s="949"/>
      <c r="C10" s="932"/>
      <c r="D10" s="932"/>
      <c r="E10" s="932"/>
      <c r="F10" s="932"/>
      <c r="G10" s="950"/>
      <c r="H10" s="947"/>
      <c r="I10" s="2"/>
      <c r="J10" s="2"/>
    </row>
    <row r="11" spans="1:11">
      <c r="A11" s="948"/>
      <c r="B11" s="949"/>
      <c r="C11" s="932"/>
      <c r="D11" s="932"/>
      <c r="E11" s="932"/>
      <c r="F11" s="932"/>
      <c r="G11" s="950"/>
      <c r="H11" s="947"/>
      <c r="I11" s="2"/>
      <c r="J11" s="2"/>
    </row>
    <row r="12" spans="1:11">
      <c r="A12" s="951"/>
      <c r="B12" s="949"/>
      <c r="C12" s="932"/>
      <c r="D12" s="932"/>
      <c r="E12" s="932"/>
      <c r="F12" s="932"/>
      <c r="G12" s="952"/>
      <c r="H12" s="947"/>
      <c r="I12" s="2"/>
      <c r="J12" s="2"/>
    </row>
    <row r="13" spans="1:11">
      <c r="A13" s="951"/>
      <c r="B13" s="949"/>
      <c r="C13" s="932"/>
      <c r="D13" s="932"/>
      <c r="E13" s="926"/>
      <c r="G13" s="952"/>
      <c r="H13" s="947"/>
      <c r="I13" s="2"/>
      <c r="J13" s="2"/>
    </row>
    <row r="14" spans="1:11">
      <c r="A14" s="951"/>
      <c r="B14" s="949"/>
      <c r="C14" s="932"/>
      <c r="D14" s="932"/>
      <c r="E14" s="932"/>
      <c r="F14" s="932"/>
      <c r="G14" s="952"/>
      <c r="H14" s="947"/>
      <c r="I14" s="2"/>
      <c r="J14" s="2"/>
    </row>
    <row r="15" spans="1:11" s="952" customFormat="1">
      <c r="A15" s="953"/>
      <c r="B15" s="949"/>
      <c r="C15" s="954"/>
      <c r="D15" s="954"/>
      <c r="E15" s="926"/>
      <c r="G15" s="880"/>
      <c r="H15" s="955"/>
      <c r="I15" s="956"/>
      <c r="J15" s="956"/>
    </row>
    <row r="16" spans="1:11">
      <c r="A16" s="926"/>
      <c r="B16" s="926"/>
      <c r="C16" s="926"/>
      <c r="D16" s="957"/>
      <c r="E16" s="932"/>
      <c r="F16" s="932"/>
      <c r="G16" s="926"/>
      <c r="H16" s="6"/>
      <c r="I16" s="6"/>
    </row>
    <row r="17" spans="5:9">
      <c r="G17" s="926"/>
      <c r="H17" s="6"/>
      <c r="I17" s="6"/>
    </row>
    <row r="18" spans="5:9">
      <c r="E18" s="877"/>
      <c r="F18" s="877"/>
    </row>
  </sheetData>
  <mergeCells count="11">
    <mergeCell ref="A9:C9"/>
    <mergeCell ref="A1:B1"/>
    <mergeCell ref="A2:G2"/>
    <mergeCell ref="A4:G4"/>
    <mergeCell ref="A5:G5"/>
    <mergeCell ref="A6:A7"/>
    <mergeCell ref="B6:B7"/>
    <mergeCell ref="C6:C7"/>
    <mergeCell ref="D6:D7"/>
    <mergeCell ref="E6:F6"/>
    <mergeCell ref="G6:G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K23"/>
  <sheetViews>
    <sheetView view="pageBreakPreview" zoomScaleSheetLayoutView="100" workbookViewId="0">
      <selection activeCell="J5" sqref="J5"/>
    </sheetView>
  </sheetViews>
  <sheetFormatPr defaultRowHeight="12.75"/>
  <cols>
    <col min="1" max="6" width="12.7109375" style="1" customWidth="1"/>
    <col min="7" max="7" width="60.7109375" style="1" customWidth="1"/>
    <col min="8" max="8" width="10.140625" style="1" bestFit="1" customWidth="1"/>
    <col min="9" max="9" width="10.7109375" style="1" bestFit="1" customWidth="1"/>
    <col min="10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11" ht="60.75" customHeight="1">
      <c r="A1" s="1744"/>
      <c r="B1" s="1744"/>
      <c r="C1" s="314"/>
      <c r="D1" s="314"/>
      <c r="E1" s="314"/>
      <c r="F1" s="314"/>
      <c r="G1" s="709" t="s">
        <v>1093</v>
      </c>
    </row>
    <row r="2" spans="1:11" ht="30" customHeight="1">
      <c r="A2" s="1647" t="s">
        <v>1053</v>
      </c>
      <c r="B2" s="1647"/>
      <c r="C2" s="1647"/>
      <c r="D2" s="1647"/>
      <c r="E2" s="1647"/>
      <c r="F2" s="1647"/>
      <c r="G2" s="1647"/>
    </row>
    <row r="3" spans="1:11" ht="15">
      <c r="A3" s="708"/>
      <c r="B3" s="708"/>
      <c r="C3" s="708"/>
      <c r="D3" s="708"/>
      <c r="E3" s="708"/>
      <c r="F3" s="708"/>
      <c r="G3" s="7" t="s">
        <v>24</v>
      </c>
    </row>
    <row r="4" spans="1:11" s="958" customFormat="1" ht="20.100000000000001" customHeight="1" thickBot="1">
      <c r="A4" s="1735" t="s">
        <v>27</v>
      </c>
      <c r="B4" s="1735"/>
      <c r="C4" s="1735"/>
      <c r="D4" s="1735"/>
      <c r="E4" s="1735"/>
      <c r="F4" s="1735"/>
      <c r="G4" s="1735"/>
    </row>
    <row r="5" spans="1:11" s="707" customFormat="1" ht="20.100000000000001" customHeight="1">
      <c r="A5" s="1736" t="s">
        <v>0</v>
      </c>
      <c r="B5" s="1738" t="s">
        <v>1</v>
      </c>
      <c r="C5" s="1738" t="s">
        <v>5</v>
      </c>
      <c r="D5" s="1740" t="s">
        <v>1051</v>
      </c>
      <c r="E5" s="1738" t="s">
        <v>2</v>
      </c>
      <c r="F5" s="1738"/>
      <c r="G5" s="1742" t="s">
        <v>914</v>
      </c>
    </row>
    <row r="6" spans="1:11" s="707" customFormat="1" ht="20.100000000000001" customHeight="1">
      <c r="A6" s="1737"/>
      <c r="B6" s="1739"/>
      <c r="C6" s="1739"/>
      <c r="D6" s="1741"/>
      <c r="E6" s="710" t="s">
        <v>23</v>
      </c>
      <c r="F6" s="710" t="s">
        <v>22</v>
      </c>
      <c r="G6" s="1743"/>
    </row>
    <row r="7" spans="1:11" s="174" customFormat="1" ht="30" customHeight="1">
      <c r="A7" s="959">
        <v>853</v>
      </c>
      <c r="B7" s="272">
        <v>85395</v>
      </c>
      <c r="C7" s="263">
        <v>2059</v>
      </c>
      <c r="D7" s="942">
        <f t="shared" ref="D7" si="0">SUM(E7:F7)</f>
        <v>4000</v>
      </c>
      <c r="E7" s="943">
        <v>4000</v>
      </c>
      <c r="F7" s="942">
        <v>0</v>
      </c>
      <c r="G7" s="944" t="s">
        <v>1054</v>
      </c>
      <c r="H7" s="877"/>
      <c r="I7" s="877"/>
      <c r="J7" s="877"/>
    </row>
    <row r="8" spans="1:11" s="821" customFormat="1" ht="30" customHeight="1" thickBot="1">
      <c r="A8" s="1731" t="s">
        <v>25</v>
      </c>
      <c r="B8" s="1732"/>
      <c r="C8" s="1732"/>
      <c r="D8" s="945">
        <f>SUM(D7:D7)</f>
        <v>4000</v>
      </c>
      <c r="E8" s="945">
        <f>SUM(E7:E7)</f>
        <v>4000</v>
      </c>
      <c r="F8" s="945">
        <f>SUM(F7:F7)</f>
        <v>0</v>
      </c>
      <c r="G8" s="946"/>
      <c r="H8" s="960"/>
      <c r="I8" s="960"/>
      <c r="J8" s="960"/>
      <c r="K8" s="961"/>
    </row>
    <row r="9" spans="1:11" ht="20.100000000000001" customHeight="1">
      <c r="A9" s="1734"/>
      <c r="B9" s="1734"/>
      <c r="C9" s="1734"/>
      <c r="D9" s="1734"/>
      <c r="E9" s="1734"/>
      <c r="F9" s="1734"/>
      <c r="G9" s="1734"/>
      <c r="H9" s="938"/>
      <c r="I9" s="938"/>
      <c r="J9" s="2"/>
      <c r="K9" s="939"/>
    </row>
    <row r="10" spans="1:11" ht="20.100000000000001" customHeight="1" thickBot="1">
      <c r="A10" s="1735" t="s">
        <v>26</v>
      </c>
      <c r="B10" s="1735"/>
      <c r="C10" s="1735"/>
      <c r="D10" s="1735"/>
      <c r="E10" s="1735"/>
      <c r="F10" s="1735"/>
      <c r="G10" s="1735"/>
      <c r="H10" s="940"/>
      <c r="I10" s="940"/>
      <c r="J10" s="940"/>
      <c r="K10" s="938"/>
    </row>
    <row r="11" spans="1:11" ht="20.100000000000001" customHeight="1">
      <c r="A11" s="1736" t="s">
        <v>0</v>
      </c>
      <c r="B11" s="1738" t="s">
        <v>1</v>
      </c>
      <c r="C11" s="1738" t="s">
        <v>5</v>
      </c>
      <c r="D11" s="1740" t="s">
        <v>1051</v>
      </c>
      <c r="E11" s="1738" t="s">
        <v>2</v>
      </c>
      <c r="F11" s="1738"/>
      <c r="G11" s="1742" t="s">
        <v>914</v>
      </c>
      <c r="H11" s="938"/>
      <c r="I11" s="938"/>
      <c r="J11" s="2"/>
    </row>
    <row r="12" spans="1:11" ht="20.100000000000001" customHeight="1">
      <c r="A12" s="1737"/>
      <c r="B12" s="1739"/>
      <c r="C12" s="1739"/>
      <c r="D12" s="1741"/>
      <c r="E12" s="710" t="s">
        <v>23</v>
      </c>
      <c r="F12" s="710" t="s">
        <v>22</v>
      </c>
      <c r="G12" s="1743"/>
      <c r="H12" s="938"/>
      <c r="I12" s="938"/>
      <c r="J12" s="2"/>
    </row>
    <row r="13" spans="1:11" s="174" customFormat="1" ht="30" customHeight="1">
      <c r="A13" s="941">
        <v>853</v>
      </c>
      <c r="B13" s="263">
        <v>85395</v>
      </c>
      <c r="C13" s="263">
        <v>2009</v>
      </c>
      <c r="D13" s="942">
        <f t="shared" ref="D13" si="1">SUM(E13:F13)</f>
        <v>501000</v>
      </c>
      <c r="E13" s="943">
        <v>501000</v>
      </c>
      <c r="F13" s="942">
        <v>0</v>
      </c>
      <c r="G13" s="944" t="s">
        <v>1054</v>
      </c>
      <c r="H13" s="877"/>
      <c r="I13" s="877"/>
      <c r="J13" s="877"/>
    </row>
    <row r="14" spans="1:11" ht="30" customHeight="1" thickBot="1">
      <c r="A14" s="1731" t="s">
        <v>25</v>
      </c>
      <c r="B14" s="1732"/>
      <c r="C14" s="1732"/>
      <c r="D14" s="945">
        <f>SUM(D13:D13)</f>
        <v>501000</v>
      </c>
      <c r="E14" s="945">
        <f>SUM(E13:E13)</f>
        <v>501000</v>
      </c>
      <c r="F14" s="945">
        <f>SUM(F13:F13)</f>
        <v>0</v>
      </c>
      <c r="G14" s="946"/>
      <c r="H14" s="947"/>
      <c r="I14" s="2"/>
      <c r="J14" s="2"/>
    </row>
    <row r="15" spans="1:11">
      <c r="A15" s="962"/>
      <c r="B15" s="963"/>
      <c r="C15" s="964"/>
      <c r="D15" s="964"/>
      <c r="E15" s="964"/>
      <c r="F15" s="964"/>
      <c r="G15" s="965"/>
      <c r="H15" s="947"/>
      <c r="I15" s="2"/>
      <c r="J15" s="2"/>
    </row>
    <row r="16" spans="1:11">
      <c r="A16" s="962"/>
      <c r="B16" s="963"/>
      <c r="C16" s="964"/>
      <c r="D16" s="932"/>
      <c r="E16" s="932"/>
      <c r="F16" s="932"/>
      <c r="G16" s="950"/>
      <c r="H16" s="947"/>
      <c r="I16" s="2"/>
      <c r="J16" s="2"/>
    </row>
    <row r="17" spans="1:10">
      <c r="A17" s="966"/>
      <c r="B17" s="963"/>
      <c r="C17" s="964"/>
      <c r="D17" s="964"/>
      <c r="E17" s="964"/>
      <c r="F17" s="964"/>
      <c r="G17" s="967"/>
      <c r="H17" s="947"/>
      <c r="I17" s="2"/>
      <c r="J17" s="2"/>
    </row>
    <row r="18" spans="1:10">
      <c r="A18" s="966"/>
      <c r="B18" s="963"/>
      <c r="C18" s="964"/>
      <c r="D18" s="964"/>
      <c r="E18" s="968"/>
      <c r="F18" s="831"/>
      <c r="G18" s="967"/>
      <c r="H18" s="947"/>
      <c r="I18" s="2"/>
      <c r="J18" s="2"/>
    </row>
    <row r="19" spans="1:10">
      <c r="A19" s="966"/>
      <c r="B19" s="963"/>
      <c r="C19" s="964"/>
      <c r="D19" s="964"/>
      <c r="E19" s="964"/>
      <c r="F19" s="964"/>
      <c r="G19" s="967"/>
      <c r="H19" s="947"/>
      <c r="I19" s="2"/>
      <c r="J19" s="2"/>
    </row>
    <row r="20" spans="1:10" s="952" customFormat="1">
      <c r="A20" s="969"/>
      <c r="B20" s="963"/>
      <c r="C20" s="970"/>
      <c r="D20" s="970"/>
      <c r="E20" s="968"/>
      <c r="F20" s="967"/>
      <c r="G20" s="886"/>
      <c r="H20" s="955"/>
      <c r="I20" s="956"/>
      <c r="J20" s="956"/>
    </row>
    <row r="21" spans="1:10">
      <c r="A21" s="968"/>
      <c r="B21" s="968"/>
      <c r="C21" s="968"/>
      <c r="D21" s="971"/>
      <c r="E21" s="964"/>
      <c r="F21" s="964"/>
      <c r="G21" s="968"/>
      <c r="H21" s="6"/>
      <c r="I21" s="6"/>
    </row>
    <row r="22" spans="1:10">
      <c r="G22" s="6"/>
      <c r="H22" s="6"/>
      <c r="I22" s="6"/>
    </row>
    <row r="23" spans="1:10">
      <c r="E23" s="2"/>
      <c r="F23" s="2"/>
    </row>
  </sheetData>
  <mergeCells count="19">
    <mergeCell ref="A1:B1"/>
    <mergeCell ref="A2:G2"/>
    <mergeCell ref="A4:G4"/>
    <mergeCell ref="A5:A6"/>
    <mergeCell ref="B5:B6"/>
    <mergeCell ref="C5:C6"/>
    <mergeCell ref="D5:D6"/>
    <mergeCell ref="E5:F5"/>
    <mergeCell ref="G5:G6"/>
    <mergeCell ref="A14:C14"/>
    <mergeCell ref="A8:C8"/>
    <mergeCell ref="A9:G9"/>
    <mergeCell ref="A10:G10"/>
    <mergeCell ref="A11:A12"/>
    <mergeCell ref="B11:B12"/>
    <mergeCell ref="C11:C12"/>
    <mergeCell ref="D11:D12"/>
    <mergeCell ref="E11:F11"/>
    <mergeCell ref="G11:G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Strona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K26"/>
  <sheetViews>
    <sheetView view="pageBreakPreview" zoomScaleSheetLayoutView="100" workbookViewId="0">
      <selection activeCell="A2" sqref="A2:G2"/>
    </sheetView>
  </sheetViews>
  <sheetFormatPr defaultRowHeight="12.75"/>
  <cols>
    <col min="1" max="6" width="12.7109375" style="1" customWidth="1"/>
    <col min="7" max="7" width="60.7109375" style="1" customWidth="1"/>
    <col min="8" max="8" width="19.7109375" style="1" customWidth="1"/>
    <col min="9" max="9" width="9.140625" style="1"/>
    <col min="10" max="10" width="11.140625" style="1" bestFit="1" customWidth="1"/>
    <col min="11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11" s="174" customFormat="1" ht="48.75" customHeight="1">
      <c r="A1" s="252"/>
      <c r="B1" s="252"/>
      <c r="C1" s="252"/>
      <c r="D1" s="252"/>
      <c r="E1" s="252"/>
      <c r="F1" s="252"/>
      <c r="G1" s="709" t="s">
        <v>1094</v>
      </c>
    </row>
    <row r="2" spans="1:11" s="174" customFormat="1" ht="40.5" customHeight="1">
      <c r="A2" s="1647" t="s">
        <v>1055</v>
      </c>
      <c r="B2" s="1647"/>
      <c r="C2" s="1647"/>
      <c r="D2" s="1647"/>
      <c r="E2" s="1647"/>
      <c r="F2" s="1647"/>
      <c r="G2" s="1647"/>
    </row>
    <row r="3" spans="1:11" ht="13.5" customHeight="1">
      <c r="A3" s="708"/>
      <c r="B3" s="708"/>
      <c r="C3" s="708"/>
      <c r="D3" s="708"/>
      <c r="E3" s="708"/>
      <c r="F3" s="708"/>
      <c r="G3" s="7" t="s">
        <v>24</v>
      </c>
    </row>
    <row r="4" spans="1:11" s="958" customFormat="1" ht="20.100000000000001" customHeight="1" thickBot="1">
      <c r="A4" s="1735" t="s">
        <v>27</v>
      </c>
      <c r="B4" s="1735"/>
      <c r="C4" s="1735"/>
      <c r="D4" s="1735"/>
      <c r="E4" s="1735"/>
      <c r="F4" s="1735"/>
      <c r="G4" s="1735"/>
    </row>
    <row r="5" spans="1:11" ht="20.100000000000001" customHeight="1">
      <c r="A5" s="1755" t="s">
        <v>0</v>
      </c>
      <c r="B5" s="1757" t="s">
        <v>1</v>
      </c>
      <c r="C5" s="1757" t="s">
        <v>5</v>
      </c>
      <c r="D5" s="1740" t="s">
        <v>1051</v>
      </c>
      <c r="E5" s="1738" t="s">
        <v>2</v>
      </c>
      <c r="F5" s="1738"/>
      <c r="G5" s="1745" t="s">
        <v>914</v>
      </c>
    </row>
    <row r="6" spans="1:11" ht="20.100000000000001" customHeight="1">
      <c r="A6" s="1756"/>
      <c r="B6" s="1758"/>
      <c r="C6" s="1758"/>
      <c r="D6" s="1741"/>
      <c r="E6" s="710" t="s">
        <v>23</v>
      </c>
      <c r="F6" s="710" t="s">
        <v>22</v>
      </c>
      <c r="G6" s="1746"/>
    </row>
    <row r="7" spans="1:11" s="845" customFormat="1" ht="20.100000000000001" customHeight="1">
      <c r="A7" s="972">
        <v>150</v>
      </c>
      <c r="B7" s="973">
        <v>15011</v>
      </c>
      <c r="C7" s="973">
        <v>2009</v>
      </c>
      <c r="D7" s="974">
        <f t="shared" ref="D7:D12" si="0">SUM(E7:F7)</f>
        <v>284700</v>
      </c>
      <c r="E7" s="975">
        <v>284700</v>
      </c>
      <c r="F7" s="975">
        <v>0</v>
      </c>
      <c r="G7" s="1759" t="s">
        <v>1056</v>
      </c>
    </row>
    <row r="8" spans="1:11" s="845" customFormat="1" ht="20.100000000000001" customHeight="1">
      <c r="A8" s="1762">
        <v>600</v>
      </c>
      <c r="B8" s="976">
        <v>60015</v>
      </c>
      <c r="C8" s="976">
        <v>6209</v>
      </c>
      <c r="D8" s="974">
        <f t="shared" si="0"/>
        <v>1076180</v>
      </c>
      <c r="E8" s="977">
        <v>0</v>
      </c>
      <c r="F8" s="977">
        <v>1076180</v>
      </c>
      <c r="G8" s="1760"/>
    </row>
    <row r="9" spans="1:11" s="845" customFormat="1" ht="20.100000000000001" customHeight="1">
      <c r="A9" s="1763"/>
      <c r="B9" s="976">
        <v>60016</v>
      </c>
      <c r="C9" s="976">
        <v>6209</v>
      </c>
      <c r="D9" s="974">
        <f t="shared" si="0"/>
        <v>1720435</v>
      </c>
      <c r="E9" s="977">
        <v>0</v>
      </c>
      <c r="F9" s="977">
        <v>1720435</v>
      </c>
      <c r="G9" s="1760"/>
    </row>
    <row r="10" spans="1:11" s="831" customFormat="1" ht="20.100000000000001" customHeight="1">
      <c r="A10" s="941">
        <v>803</v>
      </c>
      <c r="B10" s="263">
        <v>80306</v>
      </c>
      <c r="C10" s="263">
        <v>6209</v>
      </c>
      <c r="D10" s="942">
        <f t="shared" si="0"/>
        <v>1233953</v>
      </c>
      <c r="E10" s="942">
        <v>0</v>
      </c>
      <c r="F10" s="978">
        <v>1233953</v>
      </c>
      <c r="G10" s="1760"/>
      <c r="H10" s="892"/>
      <c r="I10" s="874"/>
      <c r="J10" s="874"/>
    </row>
    <row r="11" spans="1:11" s="174" customFormat="1" ht="20.100000000000001" customHeight="1">
      <c r="A11" s="941">
        <v>851</v>
      </c>
      <c r="B11" s="263">
        <v>85111</v>
      </c>
      <c r="C11" s="263">
        <v>6209</v>
      </c>
      <c r="D11" s="942">
        <f t="shared" si="0"/>
        <v>51016</v>
      </c>
      <c r="E11" s="942">
        <v>0</v>
      </c>
      <c r="F11" s="978">
        <v>51016</v>
      </c>
      <c r="G11" s="1760"/>
      <c r="H11" s="979"/>
      <c r="I11" s="877"/>
      <c r="J11" s="877"/>
    </row>
    <row r="12" spans="1:11" s="958" customFormat="1" ht="20.100000000000001" customHeight="1">
      <c r="A12" s="941">
        <v>921</v>
      </c>
      <c r="B12" s="980">
        <v>92195</v>
      </c>
      <c r="C12" s="263">
        <v>6209</v>
      </c>
      <c r="D12" s="942">
        <f t="shared" si="0"/>
        <v>1670576</v>
      </c>
      <c r="E12" s="942">
        <v>0</v>
      </c>
      <c r="F12" s="978">
        <v>1670576</v>
      </c>
      <c r="G12" s="1761"/>
      <c r="H12" s="981"/>
      <c r="I12" s="982"/>
      <c r="J12" s="982"/>
    </row>
    <row r="13" spans="1:11" ht="30" customHeight="1" thickBot="1">
      <c r="A13" s="1752" t="s">
        <v>25</v>
      </c>
      <c r="B13" s="1753"/>
      <c r="C13" s="1754"/>
      <c r="D13" s="983">
        <f>SUM(D7:D12)</f>
        <v>6036860</v>
      </c>
      <c r="E13" s="983">
        <f>SUM(E7:E12)</f>
        <v>284700</v>
      </c>
      <c r="F13" s="983">
        <f>SUM(F7:F12)</f>
        <v>5752160</v>
      </c>
      <c r="G13" s="946"/>
      <c r="H13" s="979"/>
      <c r="I13" s="2"/>
      <c r="J13" s="2"/>
    </row>
    <row r="14" spans="1:11">
      <c r="A14" s="1734"/>
      <c r="B14" s="1734"/>
      <c r="C14" s="1734"/>
      <c r="D14" s="1734"/>
      <c r="E14" s="1734"/>
      <c r="F14" s="1734"/>
      <c r="G14" s="1734"/>
      <c r="H14" s="979"/>
      <c r="I14" s="2"/>
      <c r="J14" s="2"/>
    </row>
    <row r="15" spans="1:11" ht="18" customHeight="1" thickBot="1">
      <c r="A15" s="1735" t="s">
        <v>26</v>
      </c>
      <c r="B15" s="1735"/>
      <c r="C15" s="1735"/>
      <c r="D15" s="1735"/>
      <c r="E15" s="1735"/>
      <c r="F15" s="1735"/>
      <c r="G15" s="1735"/>
      <c r="H15" s="979"/>
      <c r="I15" s="2"/>
      <c r="J15" s="2"/>
      <c r="K15" s="984"/>
    </row>
    <row r="16" spans="1:11" ht="20.100000000000001" customHeight="1">
      <c r="A16" s="1755" t="s">
        <v>0</v>
      </c>
      <c r="B16" s="1757" t="s">
        <v>1</v>
      </c>
      <c r="C16" s="1757" t="s">
        <v>5</v>
      </c>
      <c r="D16" s="1740" t="s">
        <v>1051</v>
      </c>
      <c r="E16" s="1738" t="s">
        <v>2</v>
      </c>
      <c r="F16" s="1738"/>
      <c r="G16" s="1745" t="s">
        <v>914</v>
      </c>
      <c r="H16" s="979"/>
      <c r="I16" s="2"/>
      <c r="J16" s="2"/>
    </row>
    <row r="17" spans="1:10" ht="20.100000000000001" customHeight="1">
      <c r="A17" s="1756"/>
      <c r="B17" s="1758"/>
      <c r="C17" s="1758"/>
      <c r="D17" s="1741"/>
      <c r="E17" s="710" t="s">
        <v>23</v>
      </c>
      <c r="F17" s="710" t="s">
        <v>22</v>
      </c>
      <c r="G17" s="1746"/>
      <c r="H17" s="2"/>
      <c r="I17" s="2"/>
      <c r="J17" s="2"/>
    </row>
    <row r="18" spans="1:10" s="831" customFormat="1" ht="20.100000000000001" customHeight="1">
      <c r="A18" s="1747">
        <v>150</v>
      </c>
      <c r="B18" s="1749">
        <v>15011</v>
      </c>
      <c r="C18" s="263">
        <v>2009</v>
      </c>
      <c r="D18" s="942">
        <f>SUM(E18:F18)</f>
        <v>591300</v>
      </c>
      <c r="E18" s="978">
        <v>591300</v>
      </c>
      <c r="F18" s="985">
        <v>0</v>
      </c>
      <c r="G18" s="1751" t="s">
        <v>1056</v>
      </c>
      <c r="H18" s="874"/>
      <c r="I18" s="874"/>
      <c r="J18" s="874"/>
    </row>
    <row r="19" spans="1:10" s="831" customFormat="1" ht="20.100000000000001" customHeight="1">
      <c r="A19" s="1748"/>
      <c r="B19" s="1750"/>
      <c r="C19" s="263">
        <v>6209</v>
      </c>
      <c r="D19" s="942">
        <f>SUM(E19:F19)</f>
        <v>13162169</v>
      </c>
      <c r="E19" s="942">
        <v>0</v>
      </c>
      <c r="F19" s="978">
        <v>13162169</v>
      </c>
      <c r="G19" s="1751"/>
      <c r="H19" s="874"/>
      <c r="I19" s="874"/>
      <c r="J19" s="874"/>
    </row>
    <row r="20" spans="1:10" s="831" customFormat="1" ht="20.100000000000001" customHeight="1">
      <c r="A20" s="941">
        <v>400</v>
      </c>
      <c r="B20" s="263">
        <v>40001</v>
      </c>
      <c r="C20" s="263">
        <v>6209</v>
      </c>
      <c r="D20" s="942">
        <f>SUM(E20:F20)</f>
        <v>647583</v>
      </c>
      <c r="E20" s="942">
        <v>0</v>
      </c>
      <c r="F20" s="978">
        <v>647583</v>
      </c>
      <c r="G20" s="1751"/>
      <c r="H20" s="874"/>
      <c r="I20" s="874"/>
      <c r="J20" s="874"/>
    </row>
    <row r="21" spans="1:10" s="952" customFormat="1" ht="30" customHeight="1" thickBot="1">
      <c r="A21" s="1752" t="s">
        <v>25</v>
      </c>
      <c r="B21" s="1753"/>
      <c r="C21" s="1754"/>
      <c r="D21" s="983">
        <f>SUM(D18:D20)</f>
        <v>14401052</v>
      </c>
      <c r="E21" s="983">
        <f>SUM(E18:E20)</f>
        <v>591300</v>
      </c>
      <c r="F21" s="983">
        <f>SUM(F18:F20)</f>
        <v>13809752</v>
      </c>
      <c r="G21" s="946"/>
    </row>
    <row r="22" spans="1:10">
      <c r="B22" s="880"/>
      <c r="C22" s="986"/>
      <c r="D22" s="2"/>
      <c r="E22" s="2"/>
      <c r="F22" s="2"/>
    </row>
    <row r="23" spans="1:10">
      <c r="C23" s="987"/>
      <c r="D23" s="2"/>
      <c r="E23" s="2"/>
      <c r="F23" s="2"/>
    </row>
    <row r="24" spans="1:10">
      <c r="C24" s="2"/>
      <c r="D24" s="2"/>
      <c r="E24" s="2"/>
      <c r="F24" s="2"/>
    </row>
    <row r="25" spans="1:10">
      <c r="C25" s="2"/>
      <c r="D25" s="2"/>
      <c r="E25" s="2"/>
      <c r="F25" s="2"/>
    </row>
    <row r="26" spans="1:10">
      <c r="C26" s="2"/>
    </row>
  </sheetData>
  <mergeCells count="23">
    <mergeCell ref="A2:G2"/>
    <mergeCell ref="A4:G4"/>
    <mergeCell ref="A5:A6"/>
    <mergeCell ref="B5:B6"/>
    <mergeCell ref="C5:C6"/>
    <mergeCell ref="D5:D6"/>
    <mergeCell ref="E5:F5"/>
    <mergeCell ref="G5:G6"/>
    <mergeCell ref="G7:G12"/>
    <mergeCell ref="A8:A9"/>
    <mergeCell ref="A13:C13"/>
    <mergeCell ref="A14:G14"/>
    <mergeCell ref="A15:G15"/>
    <mergeCell ref="G16:G17"/>
    <mergeCell ref="A18:A19"/>
    <mergeCell ref="B18:B19"/>
    <mergeCell ref="G18:G20"/>
    <mergeCell ref="A21:C21"/>
    <mergeCell ref="A16:A17"/>
    <mergeCell ref="B16:B17"/>
    <mergeCell ref="C16:C17"/>
    <mergeCell ref="D16:D17"/>
    <mergeCell ref="E16:F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Strona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K29"/>
  <sheetViews>
    <sheetView view="pageBreakPreview" zoomScaleSheetLayoutView="100" workbookViewId="0">
      <selection activeCell="I7" sqref="I7"/>
    </sheetView>
  </sheetViews>
  <sheetFormatPr defaultRowHeight="12.75"/>
  <cols>
    <col min="1" max="6" width="12.7109375" style="1" customWidth="1"/>
    <col min="7" max="7" width="60.7109375" style="1" customWidth="1"/>
    <col min="8" max="8" width="19.7109375" style="1" customWidth="1"/>
    <col min="9" max="9" width="9.140625" style="1"/>
    <col min="10" max="10" width="11.140625" style="1" bestFit="1" customWidth="1"/>
    <col min="11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11" ht="48.75" customHeight="1">
      <c r="A1" s="252"/>
      <c r="B1" s="252"/>
      <c r="C1" s="252"/>
      <c r="D1" s="252"/>
      <c r="E1" s="252"/>
      <c r="F1" s="252"/>
      <c r="G1" s="709" t="s">
        <v>1095</v>
      </c>
    </row>
    <row r="2" spans="1:11" ht="40.5" customHeight="1">
      <c r="A2" s="1647" t="s">
        <v>1058</v>
      </c>
      <c r="B2" s="1647"/>
      <c r="C2" s="1647"/>
      <c r="D2" s="1647"/>
      <c r="E2" s="1647"/>
      <c r="F2" s="1647"/>
      <c r="G2" s="1647"/>
    </row>
    <row r="3" spans="1:11" ht="13.5" customHeight="1">
      <c r="A3" s="708"/>
      <c r="B3" s="708"/>
      <c r="C3" s="708"/>
      <c r="D3" s="708"/>
      <c r="E3" s="708"/>
      <c r="F3" s="708"/>
      <c r="G3" s="7" t="s">
        <v>24</v>
      </c>
    </row>
    <row r="4" spans="1:11" s="958" customFormat="1" ht="20.100000000000001" customHeight="1" thickBot="1">
      <c r="A4" s="1735" t="s">
        <v>27</v>
      </c>
      <c r="B4" s="1735"/>
      <c r="C4" s="1735"/>
      <c r="D4" s="1735"/>
      <c r="E4" s="1735"/>
      <c r="F4" s="1735"/>
      <c r="G4" s="1735"/>
    </row>
    <row r="5" spans="1:11" ht="20.100000000000001" customHeight="1">
      <c r="A5" s="1755" t="s">
        <v>0</v>
      </c>
      <c r="B5" s="1757" t="s">
        <v>1</v>
      </c>
      <c r="C5" s="1757" t="s">
        <v>5</v>
      </c>
      <c r="D5" s="1740" t="s">
        <v>1051</v>
      </c>
      <c r="E5" s="1738" t="s">
        <v>2</v>
      </c>
      <c r="F5" s="1738"/>
      <c r="G5" s="1745" t="s">
        <v>914</v>
      </c>
    </row>
    <row r="6" spans="1:11" ht="20.100000000000001" customHeight="1">
      <c r="A6" s="1756"/>
      <c r="B6" s="1758"/>
      <c r="C6" s="1758"/>
      <c r="D6" s="1741"/>
      <c r="E6" s="710" t="s">
        <v>23</v>
      </c>
      <c r="F6" s="710" t="s">
        <v>22</v>
      </c>
      <c r="G6" s="1746"/>
    </row>
    <row r="7" spans="1:11" s="845" customFormat="1" ht="20.100000000000001" customHeight="1">
      <c r="A7" s="1762">
        <v>150</v>
      </c>
      <c r="B7" s="1764">
        <v>15011</v>
      </c>
      <c r="C7" s="973">
        <v>2059</v>
      </c>
      <c r="D7" s="974">
        <f t="shared" ref="D7:D13" si="0">SUM(E7:F7)</f>
        <v>661471</v>
      </c>
      <c r="E7" s="975">
        <v>661471</v>
      </c>
      <c r="F7" s="975">
        <v>0</v>
      </c>
      <c r="G7" s="1759" t="s">
        <v>1057</v>
      </c>
    </row>
    <row r="8" spans="1:11" s="845" customFormat="1" ht="20.100000000000001" customHeight="1">
      <c r="A8" s="1763"/>
      <c r="B8" s="1765"/>
      <c r="C8" s="976">
        <v>6259</v>
      </c>
      <c r="D8" s="974">
        <f t="shared" si="0"/>
        <v>1000000</v>
      </c>
      <c r="E8" s="975">
        <v>0</v>
      </c>
      <c r="F8" s="975">
        <v>1000000</v>
      </c>
      <c r="G8" s="1760"/>
    </row>
    <row r="9" spans="1:11" s="845" customFormat="1" ht="20.100000000000001" customHeight="1">
      <c r="A9" s="1762">
        <v>801</v>
      </c>
      <c r="B9" s="1764">
        <v>80195</v>
      </c>
      <c r="C9" s="976">
        <v>2059</v>
      </c>
      <c r="D9" s="974">
        <f t="shared" si="0"/>
        <v>2663400</v>
      </c>
      <c r="E9" s="977">
        <v>2663400</v>
      </c>
      <c r="F9" s="977">
        <v>0</v>
      </c>
      <c r="G9" s="1760"/>
    </row>
    <row r="10" spans="1:11" s="845" customFormat="1" ht="20.100000000000001" customHeight="1">
      <c r="A10" s="1763"/>
      <c r="B10" s="1765"/>
      <c r="C10" s="976">
        <v>6259</v>
      </c>
      <c r="D10" s="974">
        <f t="shared" si="0"/>
        <v>24000</v>
      </c>
      <c r="E10" s="977">
        <v>0</v>
      </c>
      <c r="F10" s="977">
        <v>24000</v>
      </c>
      <c r="G10" s="1760"/>
    </row>
    <row r="11" spans="1:11" s="831" customFormat="1" ht="20.100000000000001" customHeight="1">
      <c r="A11" s="941">
        <v>851</v>
      </c>
      <c r="B11" s="263">
        <v>85195</v>
      </c>
      <c r="C11" s="263">
        <v>2059</v>
      </c>
      <c r="D11" s="942">
        <f t="shared" si="0"/>
        <v>227648</v>
      </c>
      <c r="E11" s="942">
        <v>227648</v>
      </c>
      <c r="F11" s="978">
        <v>0</v>
      </c>
      <c r="G11" s="1760"/>
      <c r="H11" s="892"/>
      <c r="I11" s="874"/>
      <c r="J11" s="874"/>
    </row>
    <row r="12" spans="1:11" s="174" customFormat="1" ht="20.100000000000001" customHeight="1">
      <c r="A12" s="941">
        <v>852</v>
      </c>
      <c r="B12" s="263">
        <v>85295</v>
      </c>
      <c r="C12" s="263">
        <v>2059</v>
      </c>
      <c r="D12" s="942">
        <f t="shared" si="0"/>
        <v>1914875</v>
      </c>
      <c r="E12" s="942">
        <v>1914875</v>
      </c>
      <c r="F12" s="978">
        <v>0</v>
      </c>
      <c r="G12" s="1760"/>
      <c r="H12" s="979"/>
      <c r="I12" s="877"/>
      <c r="J12" s="877"/>
    </row>
    <row r="13" spans="1:11" s="174" customFormat="1" ht="20.100000000000001" customHeight="1">
      <c r="A13" s="941">
        <v>853</v>
      </c>
      <c r="B13" s="980">
        <v>85395</v>
      </c>
      <c r="C13" s="263">
        <v>2059</v>
      </c>
      <c r="D13" s="942">
        <f t="shared" si="0"/>
        <v>2021987</v>
      </c>
      <c r="E13" s="942">
        <v>2021987</v>
      </c>
      <c r="F13" s="978">
        <v>0</v>
      </c>
      <c r="G13" s="1760"/>
      <c r="H13" s="979"/>
      <c r="I13" s="877"/>
      <c r="J13" s="877"/>
    </row>
    <row r="14" spans="1:11" ht="30" customHeight="1" thickBot="1">
      <c r="A14" s="1752" t="s">
        <v>25</v>
      </c>
      <c r="B14" s="1753"/>
      <c r="C14" s="1754"/>
      <c r="D14" s="983">
        <f>SUM(D7:D13)</f>
        <v>8513381</v>
      </c>
      <c r="E14" s="983">
        <f>SUM(E7:E13)</f>
        <v>7489381</v>
      </c>
      <c r="F14" s="983">
        <f>SUM(F7:F13)</f>
        <v>1024000</v>
      </c>
      <c r="G14" s="946"/>
      <c r="H14" s="979"/>
      <c r="I14" s="2"/>
      <c r="J14" s="2"/>
    </row>
    <row r="15" spans="1:11">
      <c r="A15" s="1734"/>
      <c r="B15" s="1734"/>
      <c r="C15" s="1734"/>
      <c r="D15" s="1734"/>
      <c r="E15" s="1734"/>
      <c r="F15" s="1734"/>
      <c r="G15" s="1734"/>
      <c r="H15" s="979"/>
      <c r="I15" s="2"/>
      <c r="J15" s="2"/>
    </row>
    <row r="16" spans="1:11" ht="18" customHeight="1" thickBot="1">
      <c r="A16" s="1735" t="s">
        <v>26</v>
      </c>
      <c r="B16" s="1735"/>
      <c r="C16" s="1735"/>
      <c r="D16" s="1735"/>
      <c r="E16" s="1735"/>
      <c r="F16" s="1735"/>
      <c r="G16" s="1735"/>
      <c r="H16" s="979"/>
      <c r="I16" s="2"/>
      <c r="J16" s="2"/>
      <c r="K16" s="984"/>
    </row>
    <row r="17" spans="1:10" ht="20.100000000000001" customHeight="1">
      <c r="A17" s="1755" t="s">
        <v>0</v>
      </c>
      <c r="B17" s="1757" t="s">
        <v>1</v>
      </c>
      <c r="C17" s="1757" t="s">
        <v>5</v>
      </c>
      <c r="D17" s="1740" t="s">
        <v>1051</v>
      </c>
      <c r="E17" s="1738" t="s">
        <v>2</v>
      </c>
      <c r="F17" s="1738"/>
      <c r="G17" s="1745" t="s">
        <v>914</v>
      </c>
      <c r="H17" s="979"/>
      <c r="I17" s="2"/>
      <c r="J17" s="2"/>
    </row>
    <row r="18" spans="1:10" ht="20.100000000000001" customHeight="1">
      <c r="A18" s="1756"/>
      <c r="B18" s="1758"/>
      <c r="C18" s="1758"/>
      <c r="D18" s="1741"/>
      <c r="E18" s="710" t="s">
        <v>23</v>
      </c>
      <c r="F18" s="710" t="s">
        <v>22</v>
      </c>
      <c r="G18" s="1746"/>
      <c r="H18" s="2"/>
      <c r="I18" s="2"/>
      <c r="J18" s="2"/>
    </row>
    <row r="19" spans="1:10" s="831" customFormat="1" ht="20.100000000000001" customHeight="1">
      <c r="A19" s="941">
        <v>150</v>
      </c>
      <c r="B19" s="263">
        <v>15011</v>
      </c>
      <c r="C19" s="263">
        <v>2009</v>
      </c>
      <c r="D19" s="942">
        <f>SUM(E19:F19)</f>
        <v>3748340</v>
      </c>
      <c r="E19" s="978">
        <v>3748340</v>
      </c>
      <c r="F19" s="985">
        <v>0</v>
      </c>
      <c r="G19" s="1751" t="s">
        <v>1057</v>
      </c>
      <c r="H19" s="874"/>
      <c r="I19" s="874"/>
      <c r="J19" s="874"/>
    </row>
    <row r="20" spans="1:10" s="831" customFormat="1" ht="20.100000000000001" customHeight="1">
      <c r="A20" s="941">
        <v>801</v>
      </c>
      <c r="B20" s="263">
        <v>80195</v>
      </c>
      <c r="C20" s="980">
        <v>2009</v>
      </c>
      <c r="D20" s="988">
        <f>SUM(E20:F20)</f>
        <v>908600</v>
      </c>
      <c r="E20" s="942">
        <v>908600</v>
      </c>
      <c r="F20" s="978">
        <v>0</v>
      </c>
      <c r="G20" s="1751"/>
      <c r="H20" s="874"/>
      <c r="I20" s="874"/>
      <c r="J20" s="874"/>
    </row>
    <row r="21" spans="1:10" s="831" customFormat="1" ht="20.100000000000001" customHeight="1">
      <c r="A21" s="941">
        <v>851</v>
      </c>
      <c r="B21" s="263">
        <v>85195</v>
      </c>
      <c r="C21" s="980">
        <v>2009</v>
      </c>
      <c r="D21" s="988">
        <f>SUM(E21:F21)</f>
        <v>227648</v>
      </c>
      <c r="E21" s="942">
        <v>227648</v>
      </c>
      <c r="F21" s="978">
        <v>0</v>
      </c>
      <c r="G21" s="1751"/>
      <c r="H21" s="874"/>
      <c r="I21" s="874"/>
      <c r="J21" s="874"/>
    </row>
    <row r="22" spans="1:10" s="831" customFormat="1" ht="20.100000000000001" customHeight="1">
      <c r="A22" s="941">
        <v>852</v>
      </c>
      <c r="B22" s="263">
        <v>85295</v>
      </c>
      <c r="C22" s="980">
        <v>2009</v>
      </c>
      <c r="D22" s="988">
        <f>SUM(E22:F22)</f>
        <v>9155893</v>
      </c>
      <c r="E22" s="942">
        <v>9155893</v>
      </c>
      <c r="F22" s="978">
        <v>0</v>
      </c>
      <c r="G22" s="1751"/>
      <c r="H22" s="874"/>
      <c r="I22" s="874"/>
      <c r="J22" s="874"/>
    </row>
    <row r="23" spans="1:10" s="831" customFormat="1" ht="20.100000000000001" customHeight="1">
      <c r="A23" s="941">
        <v>853</v>
      </c>
      <c r="B23" s="263">
        <v>85395</v>
      </c>
      <c r="C23" s="263">
        <v>2009</v>
      </c>
      <c r="D23" s="942">
        <f>SUM(E23:F23)</f>
        <v>5288442</v>
      </c>
      <c r="E23" s="942">
        <v>5288442</v>
      </c>
      <c r="F23" s="978">
        <v>0</v>
      </c>
      <c r="G23" s="1751"/>
      <c r="H23" s="874"/>
      <c r="I23" s="874"/>
      <c r="J23" s="874"/>
    </row>
    <row r="24" spans="1:10" s="952" customFormat="1" ht="30" customHeight="1" thickBot="1">
      <c r="A24" s="1752" t="s">
        <v>25</v>
      </c>
      <c r="B24" s="1753"/>
      <c r="C24" s="1754"/>
      <c r="D24" s="983">
        <f>SUM(D19:D23)</f>
        <v>19328923</v>
      </c>
      <c r="E24" s="983">
        <f>SUM(E19:E23)</f>
        <v>19328923</v>
      </c>
      <c r="F24" s="983">
        <f>SUM(F19:F23)</f>
        <v>0</v>
      </c>
      <c r="G24" s="946"/>
    </row>
    <row r="25" spans="1:10">
      <c r="B25" s="880"/>
      <c r="C25" s="986"/>
      <c r="D25" s="2"/>
      <c r="E25" s="2"/>
      <c r="F25" s="2"/>
    </row>
    <row r="26" spans="1:10">
      <c r="C26" s="987"/>
      <c r="D26" s="2"/>
      <c r="E26" s="2"/>
      <c r="F26" s="2"/>
    </row>
    <row r="27" spans="1:10">
      <c r="C27" s="2"/>
      <c r="D27" s="2"/>
      <c r="E27" s="2"/>
      <c r="F27" s="2"/>
    </row>
    <row r="28" spans="1:10">
      <c r="C28" s="2"/>
      <c r="D28" s="2"/>
      <c r="E28" s="2"/>
      <c r="F28" s="2"/>
    </row>
    <row r="29" spans="1:10">
      <c r="C29" s="2"/>
    </row>
  </sheetData>
  <mergeCells count="24">
    <mergeCell ref="G17:G18"/>
    <mergeCell ref="G19:G23"/>
    <mergeCell ref="A24:C24"/>
    <mergeCell ref="G7:G13"/>
    <mergeCell ref="A14:C14"/>
    <mergeCell ref="A15:G15"/>
    <mergeCell ref="A16:G16"/>
    <mergeCell ref="A17:A18"/>
    <mergeCell ref="B17:B18"/>
    <mergeCell ref="C17:C18"/>
    <mergeCell ref="D17:D18"/>
    <mergeCell ref="E17:F17"/>
    <mergeCell ref="B7:B8"/>
    <mergeCell ref="A7:A8"/>
    <mergeCell ref="A9:A10"/>
    <mergeCell ref="B9:B10"/>
    <mergeCell ref="A2:G2"/>
    <mergeCell ref="A4:G4"/>
    <mergeCell ref="A5:A6"/>
    <mergeCell ref="B5:B6"/>
    <mergeCell ref="C5:C6"/>
    <mergeCell ref="D5:D6"/>
    <mergeCell ref="E5:F5"/>
    <mergeCell ref="G5:G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Strona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J20"/>
  <sheetViews>
    <sheetView view="pageBreakPreview" zoomScaleSheetLayoutView="100" workbookViewId="0">
      <selection activeCell="H3" sqref="H3"/>
    </sheetView>
  </sheetViews>
  <sheetFormatPr defaultRowHeight="12.75"/>
  <cols>
    <col min="1" max="6" width="12.7109375" style="1" customWidth="1"/>
    <col min="7" max="7" width="60.7109375" style="1" customWidth="1"/>
    <col min="8" max="8" width="19.7109375" style="1" customWidth="1"/>
    <col min="9" max="9" width="9.140625" style="1"/>
    <col min="10" max="10" width="11.140625" style="1" bestFit="1" customWidth="1"/>
    <col min="11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10" ht="54" customHeight="1">
      <c r="A1" s="1733"/>
      <c r="B1" s="1733"/>
      <c r="C1" s="9"/>
      <c r="D1" s="9"/>
      <c r="E1" s="9"/>
      <c r="F1" s="9"/>
      <c r="G1" s="709" t="s">
        <v>1096</v>
      </c>
    </row>
    <row r="2" spans="1:10">
      <c r="A2" s="174"/>
      <c r="B2" s="174"/>
      <c r="C2" s="174"/>
      <c r="D2" s="174"/>
      <c r="E2" s="174"/>
      <c r="F2" s="174"/>
      <c r="G2" s="174"/>
    </row>
    <row r="3" spans="1:10" ht="46.5" customHeight="1">
      <c r="A3" s="1647" t="s">
        <v>1059</v>
      </c>
      <c r="B3" s="1647"/>
      <c r="C3" s="1647"/>
      <c r="D3" s="1647"/>
      <c r="E3" s="1647"/>
      <c r="F3" s="1647"/>
      <c r="G3" s="1647"/>
    </row>
    <row r="4" spans="1:10" ht="15">
      <c r="A4" s="708"/>
      <c r="B4" s="708"/>
      <c r="C4" s="708"/>
      <c r="D4" s="708"/>
      <c r="E4" s="708"/>
      <c r="F4" s="708"/>
      <c r="G4" s="7" t="s">
        <v>24</v>
      </c>
    </row>
    <row r="5" spans="1:10" s="958" customFormat="1" ht="20.100000000000001" customHeight="1" thickBot="1">
      <c r="A5" s="1735" t="s">
        <v>1060</v>
      </c>
      <c r="B5" s="1735"/>
      <c r="C5" s="1735"/>
      <c r="D5" s="1735"/>
      <c r="E5" s="1735"/>
      <c r="F5" s="1735"/>
      <c r="G5" s="1735"/>
      <c r="H5" s="981"/>
      <c r="I5" s="982"/>
      <c r="J5" s="982"/>
    </row>
    <row r="6" spans="1:10" s="821" customFormat="1" ht="20.100000000000001" customHeight="1">
      <c r="A6" s="1736" t="s">
        <v>0</v>
      </c>
      <c r="B6" s="1738" t="s">
        <v>1</v>
      </c>
      <c r="C6" s="1738" t="s">
        <v>5</v>
      </c>
      <c r="D6" s="1740" t="s">
        <v>1051</v>
      </c>
      <c r="E6" s="1738" t="s">
        <v>2</v>
      </c>
      <c r="F6" s="1738"/>
      <c r="G6" s="1742" t="s">
        <v>914</v>
      </c>
      <c r="H6" s="989"/>
      <c r="I6" s="960"/>
      <c r="J6" s="960"/>
    </row>
    <row r="7" spans="1:10" s="821" customFormat="1" ht="20.100000000000001" customHeight="1">
      <c r="A7" s="1737"/>
      <c r="B7" s="1739"/>
      <c r="C7" s="1739"/>
      <c r="D7" s="1741"/>
      <c r="E7" s="710" t="s">
        <v>23</v>
      </c>
      <c r="F7" s="710" t="s">
        <v>22</v>
      </c>
      <c r="G7" s="1743"/>
      <c r="H7" s="989"/>
      <c r="I7" s="960"/>
      <c r="J7" s="960"/>
    </row>
    <row r="8" spans="1:10" s="875" customFormat="1" ht="30" customHeight="1">
      <c r="A8" s="1772">
        <v>750</v>
      </c>
      <c r="B8" s="1773">
        <v>75095</v>
      </c>
      <c r="C8" s="263">
        <v>2058</v>
      </c>
      <c r="D8" s="942">
        <f>SUM(E8:F8)</f>
        <v>2448000</v>
      </c>
      <c r="E8" s="978">
        <v>2448000</v>
      </c>
      <c r="F8" s="942">
        <v>0</v>
      </c>
      <c r="G8" s="1751" t="s">
        <v>1061</v>
      </c>
      <c r="H8" s="989"/>
      <c r="I8" s="990"/>
      <c r="J8" s="990"/>
    </row>
    <row r="9" spans="1:10" s="174" customFormat="1" ht="30" customHeight="1">
      <c r="A9" s="1772"/>
      <c r="B9" s="1773"/>
      <c r="C9" s="263">
        <v>2059</v>
      </c>
      <c r="D9" s="942">
        <f>SUM(E9:F9)</f>
        <v>432000</v>
      </c>
      <c r="E9" s="942">
        <v>432000</v>
      </c>
      <c r="F9" s="978">
        <v>0</v>
      </c>
      <c r="G9" s="1751"/>
      <c r="H9" s="979"/>
      <c r="I9" s="877"/>
      <c r="J9" s="877"/>
    </row>
    <row r="10" spans="1:10" ht="30" customHeight="1" thickBot="1">
      <c r="A10" s="1731" t="s">
        <v>25</v>
      </c>
      <c r="B10" s="1732"/>
      <c r="C10" s="1732"/>
      <c r="D10" s="945">
        <f>SUM(D8:D9)</f>
        <v>2880000</v>
      </c>
      <c r="E10" s="945">
        <f>SUM(E8:E9)</f>
        <v>2880000</v>
      </c>
      <c r="F10" s="945">
        <f>SUM(F8:F9)</f>
        <v>0</v>
      </c>
      <c r="G10" s="946"/>
    </row>
    <row r="11" spans="1:10" s="840" customFormat="1" ht="20.100000000000001" customHeight="1">
      <c r="A11" s="1774"/>
      <c r="B11" s="1774"/>
      <c r="C11" s="1774"/>
      <c r="D11" s="1774"/>
      <c r="E11" s="1774"/>
      <c r="F11" s="1774"/>
      <c r="G11" s="1774"/>
    </row>
    <row r="12" spans="1:10" s="952" customFormat="1" ht="20.100000000000001" customHeight="1">
      <c r="A12" s="1771"/>
      <c r="B12" s="1771"/>
      <c r="C12" s="1771"/>
      <c r="D12" s="1771"/>
      <c r="E12" s="1771"/>
      <c r="F12" s="1771"/>
      <c r="G12" s="1771"/>
    </row>
    <row r="13" spans="1:10" ht="20.100000000000001" customHeight="1">
      <c r="A13" s="1769"/>
      <c r="B13" s="1769"/>
      <c r="C13" s="1769"/>
      <c r="D13" s="1770"/>
      <c r="E13" s="1769"/>
      <c r="F13" s="1769"/>
      <c r="G13" s="1770"/>
    </row>
    <row r="14" spans="1:10" ht="20.100000000000001" customHeight="1">
      <c r="A14" s="1769"/>
      <c r="B14" s="1769"/>
      <c r="C14" s="1769"/>
      <c r="D14" s="1770"/>
      <c r="E14" s="991"/>
      <c r="F14" s="991"/>
      <c r="G14" s="1770"/>
    </row>
    <row r="15" spans="1:10" s="952" customFormat="1" ht="45" customHeight="1">
      <c r="A15" s="1766"/>
      <c r="B15" s="1766"/>
      <c r="C15" s="992"/>
      <c r="D15" s="993"/>
      <c r="E15" s="994"/>
      <c r="F15" s="993"/>
      <c r="G15" s="1767"/>
    </row>
    <row r="16" spans="1:10" s="174" customFormat="1" ht="45" customHeight="1">
      <c r="A16" s="1766"/>
      <c r="B16" s="1766"/>
      <c r="C16" s="992"/>
      <c r="D16" s="993"/>
      <c r="E16" s="993"/>
      <c r="F16" s="994"/>
      <c r="G16" s="1767"/>
    </row>
    <row r="17" spans="1:7" ht="20.100000000000001" customHeight="1">
      <c r="A17" s="1768"/>
      <c r="B17" s="1768"/>
      <c r="C17" s="1768"/>
      <c r="D17" s="995"/>
      <c r="E17" s="995"/>
      <c r="F17" s="995"/>
      <c r="G17" s="996"/>
    </row>
    <row r="18" spans="1:7">
      <c r="A18" s="968"/>
      <c r="B18" s="968"/>
      <c r="C18" s="968"/>
      <c r="D18" s="968"/>
      <c r="E18" s="968"/>
      <c r="F18" s="968"/>
      <c r="G18" s="968"/>
    </row>
    <row r="19" spans="1:7">
      <c r="A19" s="968"/>
      <c r="B19" s="968"/>
      <c r="C19" s="968"/>
      <c r="D19" s="964"/>
      <c r="E19" s="964"/>
      <c r="F19" s="964"/>
      <c r="G19" s="968"/>
    </row>
    <row r="20" spans="1:7">
      <c r="A20" s="968"/>
      <c r="B20" s="968"/>
      <c r="C20" s="968"/>
      <c r="D20" s="968"/>
      <c r="E20" s="968"/>
      <c r="F20" s="968"/>
      <c r="G20" s="968"/>
    </row>
  </sheetData>
  <mergeCells count="25">
    <mergeCell ref="A12:G12"/>
    <mergeCell ref="A1:B1"/>
    <mergeCell ref="A3:G3"/>
    <mergeCell ref="A5:G5"/>
    <mergeCell ref="A6:A7"/>
    <mergeCell ref="B6:B7"/>
    <mergeCell ref="C6:C7"/>
    <mergeCell ref="D6:D7"/>
    <mergeCell ref="E6:F6"/>
    <mergeCell ref="G6:G7"/>
    <mergeCell ref="A8:A9"/>
    <mergeCell ref="B8:B9"/>
    <mergeCell ref="G8:G9"/>
    <mergeCell ref="A10:C10"/>
    <mergeCell ref="A11:G11"/>
    <mergeCell ref="A15:A16"/>
    <mergeCell ref="B15:B16"/>
    <mergeCell ref="G15:G16"/>
    <mergeCell ref="A17:C17"/>
    <mergeCell ref="A13:A14"/>
    <mergeCell ref="B13:B14"/>
    <mergeCell ref="C13:C14"/>
    <mergeCell ref="D13:D14"/>
    <mergeCell ref="E13:F13"/>
    <mergeCell ref="G13:G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Strona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71"/>
  <sheetViews>
    <sheetView view="pageBreakPreview" zoomScale="120" zoomScaleNormal="100" zoomScaleSheetLayoutView="120" workbookViewId="0">
      <selection activeCell="H2" sqref="H2"/>
    </sheetView>
  </sheetViews>
  <sheetFormatPr defaultRowHeight="12.75"/>
  <cols>
    <col min="1" max="1" width="6.140625" style="252" customWidth="1"/>
    <col min="2" max="3" width="8.85546875" style="252" customWidth="1"/>
    <col min="4" max="4" width="43.42578125" style="252" customWidth="1"/>
    <col min="5" max="5" width="11.28515625" style="252" customWidth="1"/>
    <col min="6" max="6" width="11.5703125" style="252" customWidth="1"/>
    <col min="7" max="7" width="9.140625" style="252"/>
    <col min="8" max="8" width="8.85546875" style="253" customWidth="1"/>
    <col min="9" max="16384" width="9.140625" style="252"/>
  </cols>
  <sheetData>
    <row r="1" spans="1:8" ht="65.25" customHeight="1">
      <c r="A1" s="61"/>
      <c r="B1" s="61"/>
      <c r="C1" s="251"/>
      <c r="D1" s="1518" t="s">
        <v>1097</v>
      </c>
      <c r="E1" s="1806"/>
    </row>
    <row r="2" spans="1:8" ht="69" customHeight="1">
      <c r="A2" s="1599" t="s">
        <v>753</v>
      </c>
      <c r="B2" s="1599"/>
      <c r="C2" s="1599"/>
      <c r="D2" s="1599"/>
      <c r="E2" s="1599"/>
      <c r="F2" s="254"/>
      <c r="G2" s="254"/>
    </row>
    <row r="3" spans="1:8" s="9" customFormat="1" hidden="1">
      <c r="A3" s="199"/>
      <c r="B3" s="199"/>
      <c r="C3" s="199"/>
      <c r="D3" s="199"/>
      <c r="E3" s="255"/>
      <c r="H3" s="256"/>
    </row>
    <row r="4" spans="1:8" ht="36.75" customHeight="1">
      <c r="A4" s="1807" t="s">
        <v>754</v>
      </c>
      <c r="B4" s="1808"/>
      <c r="C4" s="1808"/>
      <c r="D4" s="1808"/>
      <c r="E4" s="1809"/>
    </row>
    <row r="5" spans="1:8" ht="15.75" customHeight="1" thickBot="1">
      <c r="A5" s="1810" t="s">
        <v>24</v>
      </c>
      <c r="B5" s="1810"/>
      <c r="C5" s="1810"/>
      <c r="D5" s="1810"/>
      <c r="E5" s="1810"/>
    </row>
    <row r="6" spans="1:8" ht="18.75" customHeight="1" thickBot="1">
      <c r="A6" s="257" t="s">
        <v>0</v>
      </c>
      <c r="B6" s="258" t="s">
        <v>1</v>
      </c>
      <c r="C6" s="258" t="s">
        <v>5</v>
      </c>
      <c r="D6" s="258" t="s">
        <v>74</v>
      </c>
      <c r="E6" s="259" t="s">
        <v>86</v>
      </c>
    </row>
    <row r="7" spans="1:8" ht="23.25" customHeight="1">
      <c r="A7" s="1775" t="s">
        <v>142</v>
      </c>
      <c r="B7" s="1811"/>
      <c r="C7" s="1811"/>
      <c r="D7" s="260" t="s">
        <v>743</v>
      </c>
      <c r="E7" s="261">
        <f>SUM(E8,E11)</f>
        <v>8068000</v>
      </c>
      <c r="G7" s="253"/>
    </row>
    <row r="8" spans="1:8">
      <c r="A8" s="1776"/>
      <c r="B8" s="1779" t="s">
        <v>197</v>
      </c>
      <c r="C8" s="1797" t="s">
        <v>198</v>
      </c>
      <c r="D8" s="1797"/>
      <c r="E8" s="262">
        <f>SUM(E9:E10)</f>
        <v>8053000</v>
      </c>
      <c r="G8" s="253"/>
    </row>
    <row r="9" spans="1:8">
      <c r="A9" s="1776"/>
      <c r="B9" s="1779"/>
      <c r="C9" s="263">
        <v>2210</v>
      </c>
      <c r="D9" s="264"/>
      <c r="E9" s="265">
        <v>5074000</v>
      </c>
      <c r="G9" s="253"/>
    </row>
    <row r="10" spans="1:8">
      <c r="A10" s="1776"/>
      <c r="B10" s="1779"/>
      <c r="C10" s="263">
        <v>6510</v>
      </c>
      <c r="D10" s="264"/>
      <c r="E10" s="265">
        <v>2979000</v>
      </c>
    </row>
    <row r="11" spans="1:8" s="253" customFormat="1">
      <c r="A11" s="1776"/>
      <c r="B11" s="1779" t="s">
        <v>254</v>
      </c>
      <c r="C11" s="1797" t="s">
        <v>129</v>
      </c>
      <c r="D11" s="1797"/>
      <c r="E11" s="262">
        <f>SUM(E12)</f>
        <v>15000</v>
      </c>
      <c r="F11" s="252"/>
      <c r="G11" s="252"/>
    </row>
    <row r="12" spans="1:8" s="253" customFormat="1">
      <c r="A12" s="1776"/>
      <c r="B12" s="1779"/>
      <c r="C12" s="263">
        <v>2210</v>
      </c>
      <c r="D12" s="266"/>
      <c r="E12" s="265">
        <v>15000</v>
      </c>
      <c r="F12" s="252"/>
      <c r="G12" s="252"/>
    </row>
    <row r="13" spans="1:8" s="253" customFormat="1" ht="23.25" customHeight="1">
      <c r="A13" s="1777" t="s">
        <v>7</v>
      </c>
      <c r="B13" s="1795"/>
      <c r="C13" s="1795"/>
      <c r="D13" s="267" t="s">
        <v>747</v>
      </c>
      <c r="E13" s="268">
        <f>E14+E16</f>
        <v>58794000</v>
      </c>
      <c r="F13" s="252"/>
    </row>
    <row r="14" spans="1:8" s="253" customFormat="1">
      <c r="A14" s="1786"/>
      <c r="B14" s="1779" t="s">
        <v>8</v>
      </c>
      <c r="C14" s="1797" t="s">
        <v>306</v>
      </c>
      <c r="D14" s="1797"/>
      <c r="E14" s="262">
        <f>SUM(E15)</f>
        <v>58720000</v>
      </c>
      <c r="F14" s="252"/>
      <c r="G14" s="252"/>
    </row>
    <row r="15" spans="1:8" s="253" customFormat="1">
      <c r="A15" s="1786"/>
      <c r="B15" s="1779"/>
      <c r="C15" s="263">
        <v>2210</v>
      </c>
      <c r="D15" s="266"/>
      <c r="E15" s="265">
        <v>58720000</v>
      </c>
      <c r="F15" s="252"/>
      <c r="G15" s="252"/>
    </row>
    <row r="16" spans="1:8" s="253" customFormat="1">
      <c r="A16" s="1786"/>
      <c r="B16" s="1780" t="s">
        <v>327</v>
      </c>
      <c r="C16" s="1797" t="s">
        <v>129</v>
      </c>
      <c r="D16" s="1797"/>
      <c r="E16" s="262">
        <f>SUM(E17)</f>
        <v>74000</v>
      </c>
      <c r="F16" s="252"/>
      <c r="G16" s="252"/>
    </row>
    <row r="17" spans="1:7" s="253" customFormat="1">
      <c r="A17" s="1775"/>
      <c r="B17" s="1803"/>
      <c r="C17" s="263">
        <v>2210</v>
      </c>
      <c r="D17" s="266"/>
      <c r="E17" s="265">
        <v>74000</v>
      </c>
      <c r="F17" s="252"/>
      <c r="G17" s="252"/>
    </row>
    <row r="18" spans="1:7" s="253" customFormat="1" ht="24" customHeight="1">
      <c r="A18" s="1777" t="s">
        <v>349</v>
      </c>
      <c r="B18" s="1804"/>
      <c r="C18" s="1804"/>
      <c r="D18" s="269" t="s">
        <v>748</v>
      </c>
      <c r="E18" s="268">
        <f>SUM(E21,E23,E20)</f>
        <v>595000</v>
      </c>
      <c r="F18" s="252"/>
      <c r="G18" s="252"/>
    </row>
    <row r="19" spans="1:7" s="253" customFormat="1">
      <c r="A19" s="1786"/>
      <c r="B19" s="1779" t="s">
        <v>355</v>
      </c>
      <c r="C19" s="1797" t="s">
        <v>356</v>
      </c>
      <c r="D19" s="1797"/>
      <c r="E19" s="262">
        <f>SUM(E20)</f>
        <v>5000</v>
      </c>
      <c r="F19" s="252"/>
      <c r="G19" s="252"/>
    </row>
    <row r="20" spans="1:7" s="253" customFormat="1">
      <c r="A20" s="1786"/>
      <c r="B20" s="1779"/>
      <c r="C20" s="263">
        <v>2210</v>
      </c>
      <c r="D20" s="270"/>
      <c r="E20" s="265">
        <v>5000</v>
      </c>
      <c r="F20" s="252"/>
      <c r="G20" s="252"/>
    </row>
    <row r="21" spans="1:7" s="253" customFormat="1">
      <c r="A21" s="1786"/>
      <c r="B21" s="1779" t="s">
        <v>357</v>
      </c>
      <c r="C21" s="1797" t="s">
        <v>755</v>
      </c>
      <c r="D21" s="1797"/>
      <c r="E21" s="262">
        <f>SUM(E22)</f>
        <v>469000</v>
      </c>
      <c r="F21" s="252"/>
      <c r="G21" s="252"/>
    </row>
    <row r="22" spans="1:7" s="253" customFormat="1">
      <c r="A22" s="1786"/>
      <c r="B22" s="1779"/>
      <c r="C22" s="263">
        <v>2210</v>
      </c>
      <c r="D22" s="270"/>
      <c r="E22" s="265">
        <v>469000</v>
      </c>
      <c r="F22" s="252"/>
      <c r="G22" s="252"/>
    </row>
    <row r="23" spans="1:7" s="253" customFormat="1">
      <c r="A23" s="1786"/>
      <c r="B23" s="1780" t="s">
        <v>361</v>
      </c>
      <c r="C23" s="1797" t="s">
        <v>129</v>
      </c>
      <c r="D23" s="1797"/>
      <c r="E23" s="262">
        <f>SUM(E24:E25)</f>
        <v>121000</v>
      </c>
      <c r="F23" s="252"/>
      <c r="G23" s="252"/>
    </row>
    <row r="24" spans="1:7" s="253" customFormat="1">
      <c r="A24" s="1786"/>
      <c r="B24" s="1805"/>
      <c r="C24" s="263">
        <v>2210</v>
      </c>
      <c r="D24" s="270"/>
      <c r="E24" s="265">
        <v>100000</v>
      </c>
      <c r="F24" s="252"/>
      <c r="G24" s="252"/>
    </row>
    <row r="25" spans="1:7" s="253" customFormat="1">
      <c r="A25" s="1775"/>
      <c r="B25" s="1803"/>
      <c r="C25" s="263">
        <v>6510</v>
      </c>
      <c r="D25" s="270"/>
      <c r="E25" s="265">
        <v>21000</v>
      </c>
      <c r="F25" s="252"/>
      <c r="G25" s="252"/>
    </row>
    <row r="26" spans="1:7" s="253" customFormat="1" ht="24" customHeight="1">
      <c r="A26" s="1776" t="s">
        <v>4</v>
      </c>
      <c r="B26" s="1795"/>
      <c r="C26" s="1795"/>
      <c r="D26" s="267" t="s">
        <v>21</v>
      </c>
      <c r="E26" s="268">
        <f>SUM(E28,E30)</f>
        <v>434000</v>
      </c>
      <c r="F26" s="252"/>
      <c r="G26" s="252"/>
    </row>
    <row r="27" spans="1:7" s="253" customFormat="1">
      <c r="A27" s="1776"/>
      <c r="B27" s="1779" t="s">
        <v>373</v>
      </c>
      <c r="C27" s="1797" t="s">
        <v>374</v>
      </c>
      <c r="D27" s="1797"/>
      <c r="E27" s="262">
        <f>SUM(E28)</f>
        <v>414000</v>
      </c>
      <c r="F27" s="252"/>
      <c r="G27" s="252"/>
    </row>
    <row r="28" spans="1:7" s="253" customFormat="1">
      <c r="A28" s="1776"/>
      <c r="B28" s="1779"/>
      <c r="C28" s="263">
        <v>2210</v>
      </c>
      <c r="D28" s="270"/>
      <c r="E28" s="265">
        <v>414000</v>
      </c>
      <c r="F28" s="252"/>
      <c r="G28" s="252"/>
    </row>
    <row r="29" spans="1:7" s="253" customFormat="1">
      <c r="A29" s="1776"/>
      <c r="B29" s="1780" t="s">
        <v>424</v>
      </c>
      <c r="C29" s="1797" t="s">
        <v>425</v>
      </c>
      <c r="D29" s="1797"/>
      <c r="E29" s="262">
        <f>SUM(E30)</f>
        <v>20000</v>
      </c>
      <c r="F29" s="252"/>
      <c r="G29" s="252"/>
    </row>
    <row r="30" spans="1:7" s="253" customFormat="1">
      <c r="A30" s="1776"/>
      <c r="B30" s="1803"/>
      <c r="C30" s="263">
        <v>2210</v>
      </c>
      <c r="D30" s="270"/>
      <c r="E30" s="265">
        <v>20000</v>
      </c>
      <c r="F30" s="252"/>
      <c r="G30" s="252"/>
    </row>
    <row r="31" spans="1:7" s="253" customFormat="1" ht="24" customHeight="1">
      <c r="A31" s="1777" t="s">
        <v>469</v>
      </c>
      <c r="B31" s="1795"/>
      <c r="C31" s="1795"/>
      <c r="D31" s="267" t="s">
        <v>749</v>
      </c>
      <c r="E31" s="268">
        <f>SUM(E32)</f>
        <v>3000</v>
      </c>
      <c r="F31" s="252"/>
      <c r="G31" s="252"/>
    </row>
    <row r="32" spans="1:7" s="253" customFormat="1">
      <c r="A32" s="1786"/>
      <c r="B32" s="1780" t="s">
        <v>471</v>
      </c>
      <c r="C32" s="1797" t="s">
        <v>472</v>
      </c>
      <c r="D32" s="1797"/>
      <c r="E32" s="262">
        <f>SUM(E33)</f>
        <v>3000</v>
      </c>
      <c r="G32" s="252"/>
    </row>
    <row r="33" spans="1:7" s="253" customFormat="1" ht="13.5" thickBot="1">
      <c r="A33" s="1786"/>
      <c r="B33" s="1796"/>
      <c r="C33" s="1083">
        <v>2210</v>
      </c>
      <c r="D33" s="1096"/>
      <c r="E33" s="274">
        <v>3000</v>
      </c>
      <c r="F33" s="252"/>
      <c r="G33" s="252"/>
    </row>
    <row r="34" spans="1:7" s="253" customFormat="1" ht="24" customHeight="1">
      <c r="A34" s="1798" t="s">
        <v>552</v>
      </c>
      <c r="B34" s="1801"/>
      <c r="C34" s="1801"/>
      <c r="D34" s="1097" t="s">
        <v>756</v>
      </c>
      <c r="E34" s="1098">
        <f>SUM(E35,E37)</f>
        <v>37000</v>
      </c>
      <c r="G34" s="252"/>
    </row>
    <row r="35" spans="1:7" s="253" customFormat="1" ht="37.5" customHeight="1">
      <c r="A35" s="1799"/>
      <c r="B35" s="1779" t="s">
        <v>579</v>
      </c>
      <c r="C35" s="1791" t="s">
        <v>757</v>
      </c>
      <c r="D35" s="1797"/>
      <c r="E35" s="262">
        <f>SUM(E36)</f>
        <v>27000</v>
      </c>
      <c r="F35" s="252"/>
      <c r="G35" s="252"/>
    </row>
    <row r="36" spans="1:7" s="253" customFormat="1" ht="21" customHeight="1">
      <c r="A36" s="1799"/>
      <c r="B36" s="1779"/>
      <c r="C36" s="1086">
        <v>2210</v>
      </c>
      <c r="D36" s="266"/>
      <c r="E36" s="265">
        <v>27000</v>
      </c>
      <c r="F36" s="252"/>
      <c r="G36" s="252"/>
    </row>
    <row r="37" spans="1:7" s="253" customFormat="1" ht="25.5" customHeight="1">
      <c r="A37" s="1799"/>
      <c r="B37" s="1779" t="s">
        <v>583</v>
      </c>
      <c r="C37" s="1791" t="s">
        <v>129</v>
      </c>
      <c r="D37" s="1797"/>
      <c r="E37" s="262">
        <f>SUM(E38)</f>
        <v>10000</v>
      </c>
      <c r="F37" s="252"/>
      <c r="G37" s="252"/>
    </row>
    <row r="38" spans="1:7" s="253" customFormat="1" ht="13.5" thickBot="1">
      <c r="A38" s="1800"/>
      <c r="B38" s="1802"/>
      <c r="C38" s="1099">
        <v>2210</v>
      </c>
      <c r="D38" s="1100"/>
      <c r="E38" s="1101">
        <v>10000</v>
      </c>
      <c r="F38" s="252"/>
      <c r="G38" s="252"/>
    </row>
    <row r="39" spans="1:7" s="253" customFormat="1" ht="24" customHeight="1">
      <c r="A39" s="1785" t="s">
        <v>584</v>
      </c>
      <c r="B39" s="1788"/>
      <c r="C39" s="1789"/>
      <c r="D39" s="1103" t="s">
        <v>750</v>
      </c>
      <c r="E39" s="1098">
        <f>SUM(E40,E42)</f>
        <v>2969000</v>
      </c>
      <c r="G39" s="252"/>
    </row>
    <row r="40" spans="1:7" s="253" customFormat="1" ht="39.75" customHeight="1">
      <c r="A40" s="1786"/>
      <c r="B40" s="1780" t="s">
        <v>591</v>
      </c>
      <c r="C40" s="1791" t="s">
        <v>751</v>
      </c>
      <c r="D40" s="1791"/>
      <c r="E40" s="262">
        <f>SUM(E41)</f>
        <v>2219000</v>
      </c>
      <c r="F40" s="252"/>
    </row>
    <row r="41" spans="1:7" s="253" customFormat="1">
      <c r="A41" s="1786"/>
      <c r="B41" s="1790"/>
      <c r="C41" s="1084">
        <v>2210</v>
      </c>
      <c r="D41" s="270"/>
      <c r="E41" s="265">
        <v>2219000</v>
      </c>
      <c r="F41" s="252"/>
      <c r="G41" s="252"/>
    </row>
    <row r="42" spans="1:7" s="253" customFormat="1" ht="25.5" customHeight="1">
      <c r="A42" s="1786"/>
      <c r="B42" s="1780" t="s">
        <v>601</v>
      </c>
      <c r="C42" s="1793" t="s">
        <v>602</v>
      </c>
      <c r="D42" s="1794"/>
      <c r="E42" s="262">
        <f>SUM(E43)</f>
        <v>750000</v>
      </c>
      <c r="F42" s="252"/>
      <c r="G42" s="252"/>
    </row>
    <row r="43" spans="1:7" s="253" customFormat="1" ht="13.5" thickBot="1">
      <c r="A43" s="1787"/>
      <c r="B43" s="1792"/>
      <c r="C43" s="1099">
        <v>2210</v>
      </c>
      <c r="D43" s="1100"/>
      <c r="E43" s="1101">
        <v>750000</v>
      </c>
      <c r="F43" s="252"/>
      <c r="G43" s="252"/>
    </row>
    <row r="44" spans="1:7" s="253" customFormat="1" ht="27" customHeight="1">
      <c r="A44" s="1775" t="s">
        <v>620</v>
      </c>
      <c r="B44" s="1778"/>
      <c r="C44" s="1778"/>
      <c r="D44" s="1102" t="s">
        <v>752</v>
      </c>
      <c r="E44" s="261">
        <f>SUM(E45)</f>
        <v>2000</v>
      </c>
      <c r="F44" s="252"/>
      <c r="G44" s="252"/>
    </row>
    <row r="45" spans="1:7" s="253" customFormat="1">
      <c r="A45" s="1776"/>
      <c r="B45" s="1779" t="s">
        <v>628</v>
      </c>
      <c r="C45" s="1781" t="s">
        <v>629</v>
      </c>
      <c r="D45" s="1781"/>
      <c r="E45" s="262">
        <f>SUM(E46)</f>
        <v>2000</v>
      </c>
      <c r="F45" s="252"/>
      <c r="G45" s="252"/>
    </row>
    <row r="46" spans="1:7" s="253" customFormat="1" ht="13.5" thickBot="1">
      <c r="A46" s="1777"/>
      <c r="B46" s="1780"/>
      <c r="C46" s="272">
        <v>2210</v>
      </c>
      <c r="D46" s="273"/>
      <c r="E46" s="274">
        <v>2000</v>
      </c>
      <c r="F46" s="252"/>
      <c r="G46" s="252"/>
    </row>
    <row r="47" spans="1:7" s="253" customFormat="1" ht="30" customHeight="1" thickBot="1">
      <c r="A47" s="1782" t="s">
        <v>19</v>
      </c>
      <c r="B47" s="1783"/>
      <c r="C47" s="1783"/>
      <c r="D47" s="1784"/>
      <c r="E47" s="275">
        <f>SUM(E44,E39,E34,E31,E26,E18,E13,E7)</f>
        <v>70902000</v>
      </c>
      <c r="F47" s="252"/>
    </row>
    <row r="48" spans="1:7" s="253" customFormat="1">
      <c r="A48" s="276"/>
      <c r="B48" s="276"/>
      <c r="C48" s="9"/>
      <c r="D48" s="9"/>
      <c r="E48" s="277"/>
      <c r="F48" s="252"/>
      <c r="G48" s="252"/>
    </row>
    <row r="49" spans="1:7" s="253" customFormat="1">
      <c r="A49" s="276"/>
      <c r="B49" s="276"/>
      <c r="C49" s="9"/>
      <c r="D49" s="9"/>
      <c r="E49" s="277"/>
      <c r="F49" s="252"/>
      <c r="G49" s="252"/>
    </row>
    <row r="50" spans="1:7" s="253" customFormat="1">
      <c r="A50" s="276"/>
      <c r="B50" s="276"/>
      <c r="C50" s="9"/>
      <c r="D50" s="9"/>
      <c r="E50" s="277"/>
      <c r="F50" s="252"/>
      <c r="G50" s="252"/>
    </row>
    <row r="51" spans="1:7" s="253" customFormat="1" ht="12.75" customHeight="1">
      <c r="A51" s="276"/>
      <c r="B51" s="276"/>
      <c r="C51" s="9"/>
      <c r="D51" s="9"/>
      <c r="E51" s="277"/>
      <c r="F51" s="252"/>
      <c r="G51" s="252"/>
    </row>
    <row r="52" spans="1:7" s="253" customFormat="1">
      <c r="A52" s="276"/>
      <c r="B52" s="276"/>
      <c r="C52" s="9"/>
      <c r="D52" s="9"/>
      <c r="E52" s="277"/>
      <c r="F52" s="252"/>
      <c r="G52" s="252"/>
    </row>
    <row r="53" spans="1:7" s="253" customFormat="1">
      <c r="A53" s="276"/>
      <c r="B53" s="276"/>
      <c r="C53" s="9"/>
      <c r="D53" s="9"/>
      <c r="E53" s="277"/>
      <c r="F53" s="252"/>
      <c r="G53" s="252"/>
    </row>
    <row r="54" spans="1:7" s="253" customFormat="1">
      <c r="A54" s="276"/>
      <c r="B54" s="276"/>
      <c r="C54" s="9"/>
      <c r="D54" s="9"/>
      <c r="E54" s="277"/>
      <c r="F54" s="252"/>
      <c r="G54" s="252"/>
    </row>
    <row r="55" spans="1:7" s="253" customFormat="1">
      <c r="A55" s="276"/>
      <c r="B55" s="276"/>
      <c r="C55" s="9"/>
      <c r="D55" s="9"/>
      <c r="E55" s="277"/>
      <c r="F55" s="252"/>
      <c r="G55" s="252"/>
    </row>
    <row r="56" spans="1:7" s="253" customFormat="1">
      <c r="A56" s="276"/>
      <c r="B56" s="276"/>
      <c r="C56" s="9"/>
      <c r="D56" s="9"/>
      <c r="E56" s="277"/>
      <c r="F56" s="252"/>
      <c r="G56" s="252"/>
    </row>
    <row r="57" spans="1:7" s="253" customFormat="1">
      <c r="A57" s="276"/>
      <c r="B57" s="276"/>
      <c r="C57" s="9"/>
      <c r="D57" s="9"/>
      <c r="E57" s="277"/>
      <c r="F57" s="252"/>
      <c r="G57" s="252"/>
    </row>
    <row r="58" spans="1:7" s="253" customFormat="1">
      <c r="A58" s="276"/>
      <c r="B58" s="276"/>
      <c r="C58" s="9"/>
      <c r="D58" s="9"/>
      <c r="E58" s="277"/>
      <c r="F58" s="252"/>
      <c r="G58" s="252"/>
    </row>
    <row r="59" spans="1:7" s="253" customFormat="1">
      <c r="A59" s="9"/>
      <c r="B59" s="276"/>
      <c r="C59" s="9"/>
      <c r="D59" s="9"/>
      <c r="E59" s="277"/>
      <c r="F59" s="252"/>
      <c r="G59" s="252"/>
    </row>
    <row r="60" spans="1:7" s="253" customFormat="1">
      <c r="A60" s="9"/>
      <c r="B60" s="276"/>
      <c r="C60" s="9"/>
      <c r="D60" s="9"/>
      <c r="E60" s="277"/>
      <c r="F60" s="252"/>
      <c r="G60" s="252"/>
    </row>
    <row r="61" spans="1:7" s="253" customFormat="1">
      <c r="A61" s="9"/>
      <c r="B61" s="276"/>
      <c r="C61" s="9"/>
      <c r="D61" s="9"/>
      <c r="E61" s="277"/>
      <c r="F61" s="252"/>
      <c r="G61" s="252"/>
    </row>
    <row r="62" spans="1:7" s="253" customFormat="1">
      <c r="A62" s="9"/>
      <c r="B62" s="276"/>
      <c r="C62" s="9"/>
      <c r="D62" s="9"/>
      <c r="E62" s="277"/>
      <c r="F62" s="252"/>
      <c r="G62" s="252"/>
    </row>
    <row r="63" spans="1:7" s="253" customFormat="1">
      <c r="A63" s="9"/>
      <c r="B63" s="276"/>
      <c r="C63" s="9"/>
      <c r="D63" s="9"/>
      <c r="E63" s="277"/>
      <c r="F63" s="252"/>
      <c r="G63" s="252"/>
    </row>
    <row r="64" spans="1:7" s="253" customFormat="1">
      <c r="A64" s="9"/>
      <c r="B64" s="276"/>
      <c r="C64" s="9"/>
      <c r="D64" s="9"/>
      <c r="E64" s="277"/>
      <c r="F64" s="252"/>
      <c r="G64" s="252"/>
    </row>
    <row r="65" spans="1:7" s="253" customFormat="1">
      <c r="A65" s="9"/>
      <c r="B65" s="276"/>
      <c r="C65" s="9"/>
      <c r="D65" s="9"/>
      <c r="E65" s="277"/>
      <c r="F65" s="252"/>
      <c r="G65" s="252"/>
    </row>
    <row r="66" spans="1:7" s="253" customFormat="1">
      <c r="A66" s="9"/>
      <c r="B66" s="276"/>
      <c r="C66" s="9"/>
      <c r="D66" s="9"/>
      <c r="E66" s="277"/>
      <c r="F66" s="252"/>
      <c r="G66" s="252"/>
    </row>
    <row r="67" spans="1:7" s="253" customFormat="1">
      <c r="A67" s="9"/>
      <c r="B67" s="276"/>
      <c r="C67" s="9"/>
      <c r="D67" s="9"/>
      <c r="E67" s="277"/>
      <c r="F67" s="252"/>
      <c r="G67" s="252"/>
    </row>
    <row r="68" spans="1:7" s="253" customFormat="1">
      <c r="A68" s="9"/>
      <c r="B68" s="276"/>
      <c r="C68" s="9"/>
      <c r="D68" s="9"/>
      <c r="E68" s="277"/>
      <c r="F68" s="252"/>
      <c r="G68" s="252"/>
    </row>
    <row r="69" spans="1:7" s="253" customFormat="1">
      <c r="A69" s="9"/>
      <c r="B69" s="276"/>
      <c r="C69" s="9"/>
      <c r="D69" s="9"/>
      <c r="E69" s="277"/>
      <c r="F69" s="252"/>
      <c r="G69" s="252"/>
    </row>
    <row r="70" spans="1:7" s="253" customFormat="1">
      <c r="A70" s="9"/>
      <c r="B70" s="276"/>
      <c r="C70" s="9"/>
      <c r="D70" s="9"/>
      <c r="E70" s="277"/>
      <c r="F70" s="252"/>
      <c r="G70" s="252"/>
    </row>
    <row r="71" spans="1:7">
      <c r="A71" s="9"/>
      <c r="B71" s="276"/>
      <c r="C71" s="9"/>
      <c r="D71" s="9"/>
      <c r="E71" s="277"/>
    </row>
    <row r="72" spans="1:7">
      <c r="A72" s="9"/>
      <c r="B72" s="276"/>
      <c r="C72" s="9"/>
      <c r="D72" s="9"/>
      <c r="E72" s="277"/>
    </row>
    <row r="73" spans="1:7">
      <c r="B73" s="276"/>
      <c r="C73" s="9"/>
      <c r="D73" s="9"/>
      <c r="E73" s="277"/>
    </row>
    <row r="74" spans="1:7">
      <c r="B74" s="276"/>
      <c r="C74" s="9"/>
      <c r="D74" s="9"/>
      <c r="E74" s="277"/>
    </row>
    <row r="75" spans="1:7">
      <c r="B75" s="278"/>
      <c r="E75" s="279"/>
    </row>
    <row r="76" spans="1:7">
      <c r="B76" s="278"/>
      <c r="E76" s="279"/>
    </row>
    <row r="77" spans="1:7">
      <c r="B77" s="278"/>
      <c r="E77" s="279"/>
    </row>
    <row r="78" spans="1:7">
      <c r="B78" s="278"/>
      <c r="E78" s="279"/>
    </row>
    <row r="79" spans="1:7">
      <c r="B79" s="278"/>
      <c r="E79" s="279"/>
    </row>
    <row r="80" spans="1:7">
      <c r="B80" s="278"/>
      <c r="E80" s="279"/>
    </row>
    <row r="81" spans="2:5">
      <c r="B81" s="278"/>
      <c r="E81" s="279"/>
    </row>
    <row r="82" spans="2:5">
      <c r="B82" s="278"/>
      <c r="E82" s="279"/>
    </row>
    <row r="83" spans="2:5">
      <c r="B83" s="278"/>
      <c r="E83" s="279"/>
    </row>
    <row r="84" spans="2:5">
      <c r="B84" s="278"/>
      <c r="E84" s="279"/>
    </row>
    <row r="85" spans="2:5">
      <c r="B85" s="278"/>
      <c r="E85" s="279"/>
    </row>
    <row r="86" spans="2:5">
      <c r="B86" s="278"/>
      <c r="E86" s="279"/>
    </row>
    <row r="87" spans="2:5">
      <c r="B87" s="278"/>
      <c r="E87" s="279"/>
    </row>
    <row r="88" spans="2:5">
      <c r="B88" s="278"/>
      <c r="E88" s="279"/>
    </row>
    <row r="89" spans="2:5">
      <c r="B89" s="278"/>
      <c r="E89" s="279"/>
    </row>
    <row r="90" spans="2:5">
      <c r="B90" s="278"/>
      <c r="E90" s="279"/>
    </row>
    <row r="91" spans="2:5">
      <c r="E91" s="279"/>
    </row>
    <row r="92" spans="2:5">
      <c r="E92" s="279"/>
    </row>
    <row r="163" spans="4:4">
      <c r="D163" s="280">
        <f>115000000+12000000</f>
        <v>127000000</v>
      </c>
    </row>
    <row r="271" spans="4:4">
      <c r="D271" s="280"/>
    </row>
  </sheetData>
  <mergeCells count="51">
    <mergeCell ref="D1:E1"/>
    <mergeCell ref="A2:E2"/>
    <mergeCell ref="A4:E4"/>
    <mergeCell ref="A5:E5"/>
    <mergeCell ref="A7:A12"/>
    <mergeCell ref="B7:C7"/>
    <mergeCell ref="B8:B10"/>
    <mergeCell ref="C8:D8"/>
    <mergeCell ref="B11:B12"/>
    <mergeCell ref="C11:D11"/>
    <mergeCell ref="A13:A17"/>
    <mergeCell ref="B13:C13"/>
    <mergeCell ref="B14:B15"/>
    <mergeCell ref="C14:D14"/>
    <mergeCell ref="B16:B17"/>
    <mergeCell ref="C16:D16"/>
    <mergeCell ref="A18:A25"/>
    <mergeCell ref="B18:C18"/>
    <mergeCell ref="B19:B20"/>
    <mergeCell ref="C19:D19"/>
    <mergeCell ref="B21:B22"/>
    <mergeCell ref="C21:D21"/>
    <mergeCell ref="B23:B25"/>
    <mergeCell ref="C23:D23"/>
    <mergeCell ref="A26:A30"/>
    <mergeCell ref="B26:C26"/>
    <mergeCell ref="B27:B28"/>
    <mergeCell ref="C27:D27"/>
    <mergeCell ref="B29:B30"/>
    <mergeCell ref="C29:D29"/>
    <mergeCell ref="A31:A33"/>
    <mergeCell ref="B31:C31"/>
    <mergeCell ref="B32:B33"/>
    <mergeCell ref="C32:D32"/>
    <mergeCell ref="A34:A38"/>
    <mergeCell ref="B34:C34"/>
    <mergeCell ref="B35:B36"/>
    <mergeCell ref="C35:D35"/>
    <mergeCell ref="B37:B38"/>
    <mergeCell ref="C37:D37"/>
    <mergeCell ref="A39:A43"/>
    <mergeCell ref="B39:C39"/>
    <mergeCell ref="B40:B41"/>
    <mergeCell ref="C40:D40"/>
    <mergeCell ref="B42:B43"/>
    <mergeCell ref="C42:D42"/>
    <mergeCell ref="A44:A46"/>
    <mergeCell ref="B44:C44"/>
    <mergeCell ref="B45:B46"/>
    <mergeCell ref="C45:D45"/>
    <mergeCell ref="A47:D4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Footer>Strona &amp;P z &amp;N</oddFooter>
  </headerFooter>
  <rowBreaks count="1" manualBreakCount="1">
    <brk id="38" max="4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353"/>
  <sheetViews>
    <sheetView view="pageBreakPreview" zoomScale="110" zoomScaleNormal="75" zoomScaleSheetLayoutView="110" workbookViewId="0">
      <pane ySplit="5" topLeftCell="A6" activePane="bottomLeft" state="frozen"/>
      <selection activeCell="J105" sqref="J105"/>
      <selection pane="bottomLeft" activeCell="Q57" sqref="Q57"/>
    </sheetView>
  </sheetViews>
  <sheetFormatPr defaultRowHeight="15.75"/>
  <cols>
    <col min="1" max="1" width="5.5703125" style="315" bestFit="1" customWidth="1"/>
    <col min="2" max="2" width="8.85546875" style="313" bestFit="1" customWidth="1"/>
    <col min="3" max="3" width="26.42578125" style="9" customWidth="1"/>
    <col min="4" max="4" width="8.85546875" style="9" bestFit="1" customWidth="1"/>
    <col min="5" max="5" width="10.28515625" style="9" customWidth="1"/>
    <col min="6" max="6" width="10.28515625" style="9" bestFit="1" customWidth="1"/>
    <col min="7" max="7" width="13.28515625" style="9" customWidth="1"/>
    <col min="8" max="8" width="9.7109375" style="9" bestFit="1" customWidth="1"/>
    <col min="9" max="9" width="12.85546875" style="9" bestFit="1" customWidth="1"/>
    <col min="10" max="10" width="10.85546875" style="9" customWidth="1"/>
    <col min="11" max="11" width="12.42578125" style="9" customWidth="1"/>
    <col min="12" max="12" width="10.5703125" style="9" customWidth="1"/>
    <col min="13" max="13" width="9.7109375" style="9" customWidth="1"/>
    <col min="14" max="16384" width="9.140625" style="9"/>
  </cols>
  <sheetData>
    <row r="1" spans="1:13" ht="23.25" customHeight="1">
      <c r="A1" s="1840" t="s">
        <v>758</v>
      </c>
      <c r="B1" s="1840"/>
      <c r="C1" s="1840"/>
      <c r="D1" s="1840"/>
      <c r="E1" s="1840"/>
      <c r="F1" s="1840"/>
      <c r="G1" s="1840"/>
      <c r="H1" s="1840"/>
      <c r="I1" s="1840"/>
      <c r="J1" s="1840"/>
      <c r="K1" s="1840"/>
      <c r="L1" s="1840"/>
    </row>
    <row r="2" spans="1:13" ht="13.5" thickBot="1">
      <c r="A2" s="1810" t="s">
        <v>759</v>
      </c>
      <c r="B2" s="1810"/>
      <c r="C2" s="1810"/>
      <c r="D2" s="1810"/>
      <c r="E2" s="1810"/>
      <c r="F2" s="1810"/>
      <c r="G2" s="1810"/>
      <c r="H2" s="1810"/>
      <c r="I2" s="1810"/>
      <c r="J2" s="1810"/>
      <c r="K2" s="1810"/>
      <c r="L2" s="1810"/>
    </row>
    <row r="3" spans="1:13" ht="12.75">
      <c r="A3" s="1736" t="s">
        <v>0</v>
      </c>
      <c r="B3" s="1738" t="s">
        <v>1</v>
      </c>
      <c r="C3" s="1738" t="s">
        <v>74</v>
      </c>
      <c r="D3" s="1757" t="s">
        <v>5</v>
      </c>
      <c r="E3" s="1740" t="s">
        <v>84</v>
      </c>
      <c r="F3" s="1740" t="s">
        <v>83</v>
      </c>
      <c r="G3" s="1847" t="s">
        <v>760</v>
      </c>
      <c r="H3" s="1848"/>
      <c r="I3" s="1848"/>
      <c r="J3" s="1848"/>
      <c r="K3" s="1849"/>
      <c r="L3" s="1742" t="s">
        <v>82</v>
      </c>
    </row>
    <row r="4" spans="1:13" ht="12.75" customHeight="1">
      <c r="A4" s="1841"/>
      <c r="B4" s="1739"/>
      <c r="C4" s="1739"/>
      <c r="D4" s="1844"/>
      <c r="E4" s="1741"/>
      <c r="F4" s="1741"/>
      <c r="G4" s="1741" t="s">
        <v>761</v>
      </c>
      <c r="H4" s="1739" t="s">
        <v>2</v>
      </c>
      <c r="I4" s="1739"/>
      <c r="J4" s="1741" t="s">
        <v>762</v>
      </c>
      <c r="K4" s="1851" t="s">
        <v>763</v>
      </c>
      <c r="L4" s="1743"/>
    </row>
    <row r="5" spans="1:13" ht="77.25" customHeight="1" thickBot="1">
      <c r="A5" s="1842"/>
      <c r="B5" s="1843"/>
      <c r="C5" s="1843"/>
      <c r="D5" s="1845"/>
      <c r="E5" s="1846"/>
      <c r="F5" s="1846"/>
      <c r="G5" s="1846"/>
      <c r="H5" s="281" t="s">
        <v>764</v>
      </c>
      <c r="I5" s="281" t="s">
        <v>765</v>
      </c>
      <c r="J5" s="1846"/>
      <c r="K5" s="1852"/>
      <c r="L5" s="1850"/>
    </row>
    <row r="6" spans="1:13" ht="30" customHeight="1">
      <c r="A6" s="1786" t="s">
        <v>142</v>
      </c>
      <c r="B6" s="1839" t="s">
        <v>743</v>
      </c>
      <c r="C6" s="1839"/>
      <c r="D6" s="282"/>
      <c r="E6" s="283">
        <f>SUM(E7,E25)</f>
        <v>8068000</v>
      </c>
      <c r="F6" s="283">
        <f>SUM(F7,F25)</f>
        <v>5089000</v>
      </c>
      <c r="G6" s="283">
        <f>SUM(H6:I6)</f>
        <v>5069520</v>
      </c>
      <c r="H6" s="283">
        <f>SUM(H7,H25)</f>
        <v>1396656</v>
      </c>
      <c r="I6" s="283">
        <f>SUM(I7,I25)</f>
        <v>3672864</v>
      </c>
      <c r="J6" s="283"/>
      <c r="K6" s="283">
        <f>SUM(K7,K25)</f>
        <v>19480</v>
      </c>
      <c r="L6" s="284">
        <f>SUM(L7,L25)</f>
        <v>2979000</v>
      </c>
      <c r="M6" s="256"/>
    </row>
    <row r="7" spans="1:13" ht="25.5" customHeight="1">
      <c r="A7" s="1786"/>
      <c r="B7" s="1818" t="s">
        <v>197</v>
      </c>
      <c r="C7" s="1821" t="s">
        <v>198</v>
      </c>
      <c r="D7" s="271" t="s">
        <v>766</v>
      </c>
      <c r="E7" s="285">
        <f>SUM(F7,L7)</f>
        <v>8053000</v>
      </c>
      <c r="F7" s="285">
        <f>SUM(G7,J7,K7)</f>
        <v>5074000</v>
      </c>
      <c r="G7" s="285">
        <f>SUM(H7:I7)</f>
        <v>5054520</v>
      </c>
      <c r="H7" s="285">
        <f>SUM(H8:H24)</f>
        <v>1396656</v>
      </c>
      <c r="I7" s="285">
        <f>SUM(I8:I23)</f>
        <v>3657864</v>
      </c>
      <c r="J7" s="286"/>
      <c r="K7" s="285">
        <f>SUM(K8:K24)</f>
        <v>19480</v>
      </c>
      <c r="L7" s="287">
        <f>SUM(L8:L24)</f>
        <v>2979000</v>
      </c>
      <c r="M7" s="288"/>
    </row>
    <row r="8" spans="1:13" ht="12.75">
      <c r="A8" s="1786"/>
      <c r="B8" s="1827"/>
      <c r="C8" s="1836"/>
      <c r="D8" s="289">
        <v>3020</v>
      </c>
      <c r="E8" s="290">
        <f t="shared" ref="E8:E13" si="0">SUM(F8,L8)</f>
        <v>19480</v>
      </c>
      <c r="F8" s="290">
        <f t="shared" ref="F8:F13" si="1">SUM(G8,J8,K8)</f>
        <v>19480</v>
      </c>
      <c r="G8" s="290"/>
      <c r="H8" s="291"/>
      <c r="I8" s="291"/>
      <c r="J8" s="291"/>
      <c r="K8" s="290">
        <v>19480</v>
      </c>
      <c r="L8" s="292"/>
      <c r="M8" s="288"/>
    </row>
    <row r="9" spans="1:13" ht="12.75">
      <c r="A9" s="1786"/>
      <c r="B9" s="1827"/>
      <c r="C9" s="1836"/>
      <c r="D9" s="289">
        <v>4010</v>
      </c>
      <c r="E9" s="290">
        <f t="shared" si="0"/>
        <v>1099906</v>
      </c>
      <c r="F9" s="290">
        <f t="shared" si="1"/>
        <v>1099906</v>
      </c>
      <c r="G9" s="290">
        <f t="shared" ref="G9:G12" si="2">SUM(H9:I9)</f>
        <v>1099906</v>
      </c>
      <c r="H9" s="290">
        <v>1099906</v>
      </c>
      <c r="I9" s="291"/>
      <c r="J9" s="291"/>
      <c r="K9" s="291"/>
      <c r="L9" s="292"/>
      <c r="M9" s="288"/>
    </row>
    <row r="10" spans="1:13" ht="12.75">
      <c r="A10" s="1786"/>
      <c r="B10" s="1827"/>
      <c r="C10" s="1836"/>
      <c r="D10" s="289">
        <v>4040</v>
      </c>
      <c r="E10" s="290">
        <f t="shared" si="0"/>
        <v>79106</v>
      </c>
      <c r="F10" s="290">
        <f t="shared" si="1"/>
        <v>79106</v>
      </c>
      <c r="G10" s="290">
        <f t="shared" si="2"/>
        <v>79106</v>
      </c>
      <c r="H10" s="290">
        <v>79106</v>
      </c>
      <c r="I10" s="291"/>
      <c r="J10" s="291"/>
      <c r="K10" s="291"/>
      <c r="L10" s="292"/>
      <c r="M10" s="288"/>
    </row>
    <row r="11" spans="1:13" ht="12.75">
      <c r="A11" s="1786"/>
      <c r="B11" s="1827"/>
      <c r="C11" s="1836"/>
      <c r="D11" s="289">
        <v>4110</v>
      </c>
      <c r="E11" s="290">
        <f t="shared" si="0"/>
        <v>193634</v>
      </c>
      <c r="F11" s="290">
        <f t="shared" si="1"/>
        <v>193634</v>
      </c>
      <c r="G11" s="290">
        <f t="shared" si="2"/>
        <v>193634</v>
      </c>
      <c r="H11" s="290">
        <v>193634</v>
      </c>
      <c r="I11" s="291"/>
      <c r="J11" s="291"/>
      <c r="K11" s="291"/>
      <c r="L11" s="292"/>
      <c r="M11" s="288"/>
    </row>
    <row r="12" spans="1:13" ht="12.75">
      <c r="A12" s="1786"/>
      <c r="B12" s="1827"/>
      <c r="C12" s="1836"/>
      <c r="D12" s="289">
        <v>4120</v>
      </c>
      <c r="E12" s="290">
        <f t="shared" si="0"/>
        <v>24010</v>
      </c>
      <c r="F12" s="290">
        <f t="shared" si="1"/>
        <v>24010</v>
      </c>
      <c r="G12" s="290">
        <f t="shared" si="2"/>
        <v>24010</v>
      </c>
      <c r="H12" s="290">
        <v>24010</v>
      </c>
      <c r="I12" s="291"/>
      <c r="J12" s="291"/>
      <c r="K12" s="291"/>
      <c r="L12" s="292"/>
      <c r="M12" s="288"/>
    </row>
    <row r="13" spans="1:13" ht="12.75">
      <c r="A13" s="1786"/>
      <c r="B13" s="1827"/>
      <c r="C13" s="1836"/>
      <c r="D13" s="289">
        <v>4140</v>
      </c>
      <c r="E13" s="290">
        <f t="shared" si="0"/>
        <v>45756</v>
      </c>
      <c r="F13" s="290">
        <f t="shared" si="1"/>
        <v>45756</v>
      </c>
      <c r="G13" s="290">
        <f>SUM(H13:I13)</f>
        <v>45756</v>
      </c>
      <c r="H13" s="291"/>
      <c r="I13" s="290">
        <v>45756</v>
      </c>
      <c r="J13" s="291"/>
      <c r="K13" s="291"/>
      <c r="L13" s="292"/>
      <c r="M13" s="288"/>
    </row>
    <row r="14" spans="1:13" ht="12.75">
      <c r="A14" s="1786"/>
      <c r="B14" s="1827"/>
      <c r="C14" s="1836"/>
      <c r="D14" s="289">
        <v>4210</v>
      </c>
      <c r="E14" s="290">
        <f>SUM(F14,L14)</f>
        <v>40000</v>
      </c>
      <c r="F14" s="290">
        <f>SUM(G14,J14,K14)</f>
        <v>40000</v>
      </c>
      <c r="G14" s="290">
        <f>SUM(H14:I14)</f>
        <v>40000</v>
      </c>
      <c r="H14" s="291"/>
      <c r="I14" s="290">
        <v>40000</v>
      </c>
      <c r="J14" s="291"/>
      <c r="K14" s="291"/>
      <c r="L14" s="292"/>
      <c r="M14" s="288"/>
    </row>
    <row r="15" spans="1:13" ht="12.75">
      <c r="A15" s="1786"/>
      <c r="B15" s="1827"/>
      <c r="C15" s="1836"/>
      <c r="D15" s="289">
        <v>4260</v>
      </c>
      <c r="E15" s="290">
        <f t="shared" ref="E15:E24" si="3">SUM(F15,L15)</f>
        <v>600000</v>
      </c>
      <c r="F15" s="290">
        <f t="shared" ref="F15:F23" si="4">SUM(G15,J15,K15)</f>
        <v>600000</v>
      </c>
      <c r="G15" s="290">
        <f t="shared" ref="G15:G23" si="5">SUM(H15:I15)</f>
        <v>600000</v>
      </c>
      <c r="H15" s="291"/>
      <c r="I15" s="290">
        <v>600000</v>
      </c>
      <c r="J15" s="291"/>
      <c r="K15" s="291"/>
      <c r="L15" s="292"/>
      <c r="M15" s="288"/>
    </row>
    <row r="16" spans="1:13" ht="12.75">
      <c r="A16" s="1786"/>
      <c r="B16" s="1827"/>
      <c r="C16" s="1836"/>
      <c r="D16" s="289">
        <v>4270</v>
      </c>
      <c r="E16" s="290">
        <f t="shared" si="3"/>
        <v>2878058</v>
      </c>
      <c r="F16" s="290">
        <f t="shared" si="4"/>
        <v>2878058</v>
      </c>
      <c r="G16" s="290">
        <f t="shared" si="5"/>
        <v>2878058</v>
      </c>
      <c r="H16" s="291"/>
      <c r="I16" s="290">
        <v>2878058</v>
      </c>
      <c r="J16" s="291"/>
      <c r="K16" s="291"/>
      <c r="L16" s="292"/>
      <c r="M16" s="288"/>
    </row>
    <row r="17" spans="1:13" ht="12.75">
      <c r="A17" s="1786"/>
      <c r="B17" s="1827"/>
      <c r="C17" s="1836"/>
      <c r="D17" s="289">
        <v>4280</v>
      </c>
      <c r="E17" s="290">
        <f t="shared" si="3"/>
        <v>1400</v>
      </c>
      <c r="F17" s="290">
        <f t="shared" si="4"/>
        <v>1400</v>
      </c>
      <c r="G17" s="290">
        <f t="shared" si="5"/>
        <v>1400</v>
      </c>
      <c r="H17" s="291"/>
      <c r="I17" s="290">
        <v>1400</v>
      </c>
      <c r="J17" s="291"/>
      <c r="K17" s="291"/>
      <c r="L17" s="292"/>
      <c r="M17" s="288"/>
    </row>
    <row r="18" spans="1:13" ht="12.75">
      <c r="A18" s="1786"/>
      <c r="B18" s="1827"/>
      <c r="C18" s="1836"/>
      <c r="D18" s="289">
        <v>4300</v>
      </c>
      <c r="E18" s="290">
        <f t="shared" si="3"/>
        <v>52400</v>
      </c>
      <c r="F18" s="290">
        <f t="shared" si="4"/>
        <v>52400</v>
      </c>
      <c r="G18" s="290">
        <f>SUM(H18:I18)</f>
        <v>52400</v>
      </c>
      <c r="H18" s="291"/>
      <c r="I18" s="290">
        <v>52400</v>
      </c>
      <c r="J18" s="291"/>
      <c r="K18" s="291"/>
      <c r="L18" s="292"/>
      <c r="M18" s="288"/>
    </row>
    <row r="19" spans="1:13" ht="12.75">
      <c r="A19" s="1786"/>
      <c r="B19" s="1827"/>
      <c r="C19" s="1836"/>
      <c r="D19" s="289">
        <v>4360</v>
      </c>
      <c r="E19" s="290">
        <f t="shared" si="3"/>
        <v>1632</v>
      </c>
      <c r="F19" s="290">
        <f t="shared" si="4"/>
        <v>1632</v>
      </c>
      <c r="G19" s="290">
        <f t="shared" si="5"/>
        <v>1632</v>
      </c>
      <c r="H19" s="291"/>
      <c r="I19" s="290">
        <v>1632</v>
      </c>
      <c r="J19" s="291"/>
      <c r="K19" s="291"/>
      <c r="L19" s="292"/>
      <c r="M19" s="288"/>
    </row>
    <row r="20" spans="1:13" ht="12.75">
      <c r="A20" s="1786"/>
      <c r="B20" s="1827"/>
      <c r="C20" s="1836"/>
      <c r="D20" s="289">
        <v>4440</v>
      </c>
      <c r="E20" s="290">
        <f t="shared" si="3"/>
        <v>36373</v>
      </c>
      <c r="F20" s="290">
        <f t="shared" si="4"/>
        <v>36373</v>
      </c>
      <c r="G20" s="290">
        <f t="shared" si="5"/>
        <v>36373</v>
      </c>
      <c r="H20" s="291"/>
      <c r="I20" s="290">
        <v>36373</v>
      </c>
      <c r="J20" s="291"/>
      <c r="K20" s="291"/>
      <c r="L20" s="292"/>
      <c r="M20" s="288"/>
    </row>
    <row r="21" spans="1:13" ht="12.75">
      <c r="A21" s="1786"/>
      <c r="B21" s="1827"/>
      <c r="C21" s="1836"/>
      <c r="D21" s="289">
        <v>4480</v>
      </c>
      <c r="E21" s="290">
        <f t="shared" si="3"/>
        <v>1200</v>
      </c>
      <c r="F21" s="290">
        <f t="shared" si="4"/>
        <v>1200</v>
      </c>
      <c r="G21" s="290">
        <f t="shared" si="5"/>
        <v>1200</v>
      </c>
      <c r="H21" s="291"/>
      <c r="I21" s="290">
        <v>1200</v>
      </c>
      <c r="J21" s="291"/>
      <c r="K21" s="291"/>
      <c r="L21" s="292"/>
      <c r="M21" s="288"/>
    </row>
    <row r="22" spans="1:13" ht="12.75">
      <c r="A22" s="1786"/>
      <c r="B22" s="1827"/>
      <c r="C22" s="1836"/>
      <c r="D22" s="289">
        <v>4500</v>
      </c>
      <c r="E22" s="290">
        <f t="shared" si="3"/>
        <v>800</v>
      </c>
      <c r="F22" s="290">
        <f t="shared" si="4"/>
        <v>800</v>
      </c>
      <c r="G22" s="290">
        <f t="shared" si="5"/>
        <v>800</v>
      </c>
      <c r="H22" s="291"/>
      <c r="I22" s="290">
        <v>800</v>
      </c>
      <c r="J22" s="291"/>
      <c r="K22" s="291"/>
      <c r="L22" s="292"/>
      <c r="M22" s="288"/>
    </row>
    <row r="23" spans="1:13" ht="12.75">
      <c r="A23" s="1786"/>
      <c r="B23" s="1827"/>
      <c r="C23" s="1836"/>
      <c r="D23" s="289">
        <v>4700</v>
      </c>
      <c r="E23" s="290">
        <f t="shared" si="3"/>
        <v>245</v>
      </c>
      <c r="F23" s="290">
        <f t="shared" si="4"/>
        <v>245</v>
      </c>
      <c r="G23" s="290">
        <f t="shared" si="5"/>
        <v>245</v>
      </c>
      <c r="H23" s="291"/>
      <c r="I23" s="290">
        <v>245</v>
      </c>
      <c r="J23" s="291"/>
      <c r="K23" s="291"/>
      <c r="L23" s="292"/>
      <c r="M23" s="288"/>
    </row>
    <row r="24" spans="1:13" ht="12.75">
      <c r="A24" s="1786"/>
      <c r="B24" s="1827"/>
      <c r="C24" s="1836"/>
      <c r="D24" s="289">
        <v>6050</v>
      </c>
      <c r="E24" s="290">
        <f t="shared" si="3"/>
        <v>2979000</v>
      </c>
      <c r="F24" s="290"/>
      <c r="G24" s="290"/>
      <c r="H24" s="291"/>
      <c r="I24" s="291"/>
      <c r="J24" s="291"/>
      <c r="K24" s="291"/>
      <c r="L24" s="293">
        <v>2979000</v>
      </c>
      <c r="M24" s="288"/>
    </row>
    <row r="25" spans="1:13" ht="28.5" customHeight="1">
      <c r="A25" s="1775"/>
      <c r="B25" s="294" t="s">
        <v>254</v>
      </c>
      <c r="C25" s="271" t="s">
        <v>129</v>
      </c>
      <c r="D25" s="271">
        <v>4590</v>
      </c>
      <c r="E25" s="285">
        <f>SUM(F25,L25)</f>
        <v>15000</v>
      </c>
      <c r="F25" s="285">
        <f>SUM(G25,J25,K25)</f>
        <v>15000</v>
      </c>
      <c r="G25" s="285">
        <f>SUM(H25:I25)</f>
        <v>15000</v>
      </c>
      <c r="H25" s="285"/>
      <c r="I25" s="285">
        <v>15000</v>
      </c>
      <c r="J25" s="285"/>
      <c r="K25" s="285"/>
      <c r="L25" s="287"/>
    </row>
    <row r="26" spans="1:13" ht="30.75" customHeight="1">
      <c r="A26" s="1777" t="s">
        <v>7</v>
      </c>
      <c r="B26" s="1833" t="s">
        <v>747</v>
      </c>
      <c r="C26" s="1833"/>
      <c r="D26" s="295"/>
      <c r="E26" s="296">
        <f>SUM(E27:E28)</f>
        <v>58794000</v>
      </c>
      <c r="F26" s="296">
        <f>SUM(F27:F28)</f>
        <v>58794000</v>
      </c>
      <c r="G26" s="296">
        <f>SUM(G27:G28)</f>
        <v>74000</v>
      </c>
      <c r="H26" s="296"/>
      <c r="I26" s="296">
        <f>SUM(I27:I28)</f>
        <v>74000</v>
      </c>
      <c r="J26" s="296">
        <f>SUM(J27)</f>
        <v>58720000</v>
      </c>
      <c r="K26" s="296"/>
      <c r="L26" s="297"/>
    </row>
    <row r="27" spans="1:13" ht="27.75" customHeight="1">
      <c r="A27" s="1786"/>
      <c r="B27" s="294" t="s">
        <v>8</v>
      </c>
      <c r="C27" s="271" t="s">
        <v>306</v>
      </c>
      <c r="D27" s="271">
        <v>2630</v>
      </c>
      <c r="E27" s="285">
        <f>SUM(F27,L27)</f>
        <v>58720000</v>
      </c>
      <c r="F27" s="285">
        <f t="shared" ref="F27:F35" si="6">SUM(G27,J27,K27)</f>
        <v>58720000</v>
      </c>
      <c r="G27" s="285"/>
      <c r="H27" s="285"/>
      <c r="I27" s="285"/>
      <c r="J27" s="285">
        <v>58720000</v>
      </c>
      <c r="K27" s="285"/>
      <c r="L27" s="287"/>
    </row>
    <row r="28" spans="1:13" ht="27.75" customHeight="1">
      <c r="A28" s="1786"/>
      <c r="B28" s="294" t="s">
        <v>327</v>
      </c>
      <c r="C28" s="271" t="s">
        <v>129</v>
      </c>
      <c r="D28" s="271">
        <v>4300</v>
      </c>
      <c r="E28" s="285">
        <f>SUM(F28,L28)</f>
        <v>74000</v>
      </c>
      <c r="F28" s="285">
        <f t="shared" si="6"/>
        <v>74000</v>
      </c>
      <c r="G28" s="285">
        <f>SUM(H28:I28)</f>
        <v>74000</v>
      </c>
      <c r="H28" s="285"/>
      <c r="I28" s="285">
        <v>74000</v>
      </c>
      <c r="J28" s="286"/>
      <c r="K28" s="286"/>
      <c r="L28" s="298"/>
    </row>
    <row r="29" spans="1:13" ht="29.25" customHeight="1">
      <c r="A29" s="1777" t="s">
        <v>349</v>
      </c>
      <c r="B29" s="1838" t="s">
        <v>748</v>
      </c>
      <c r="C29" s="1838"/>
      <c r="D29" s="299"/>
      <c r="E29" s="296">
        <f>F29+L29</f>
        <v>595000</v>
      </c>
      <c r="F29" s="296">
        <f t="shared" si="6"/>
        <v>574000</v>
      </c>
      <c r="G29" s="296">
        <f>SUM(H29:I29)</f>
        <v>574000</v>
      </c>
      <c r="H29" s="296">
        <f>SUM(H30,H31,H36)</f>
        <v>382000</v>
      </c>
      <c r="I29" s="296">
        <f>SUM(I30,I31,I36)</f>
        <v>192000</v>
      </c>
      <c r="J29" s="296"/>
      <c r="K29" s="296"/>
      <c r="L29" s="297">
        <f>SUM(L30,L31,L36)</f>
        <v>21000</v>
      </c>
    </row>
    <row r="30" spans="1:13" ht="29.25" customHeight="1">
      <c r="A30" s="1786"/>
      <c r="B30" s="294" t="s">
        <v>355</v>
      </c>
      <c r="C30" s="271" t="s">
        <v>356</v>
      </c>
      <c r="D30" s="271">
        <v>4390</v>
      </c>
      <c r="E30" s="285">
        <f>F30+L30</f>
        <v>5000</v>
      </c>
      <c r="F30" s="285">
        <f t="shared" si="6"/>
        <v>5000</v>
      </c>
      <c r="G30" s="285">
        <f>SUM(H30:I30)</f>
        <v>5000</v>
      </c>
      <c r="H30" s="286"/>
      <c r="I30" s="285">
        <v>5000</v>
      </c>
      <c r="J30" s="286"/>
      <c r="K30" s="286"/>
      <c r="L30" s="298"/>
    </row>
    <row r="31" spans="1:13" ht="27" customHeight="1">
      <c r="A31" s="1786"/>
      <c r="B31" s="1818" t="s">
        <v>357</v>
      </c>
      <c r="C31" s="1821" t="s">
        <v>767</v>
      </c>
      <c r="D31" s="271" t="s">
        <v>766</v>
      </c>
      <c r="E31" s="285">
        <f>F31+L31</f>
        <v>469000</v>
      </c>
      <c r="F31" s="285">
        <f t="shared" si="6"/>
        <v>469000</v>
      </c>
      <c r="G31" s="285">
        <f>SUM(H31:I31)</f>
        <v>469000</v>
      </c>
      <c r="H31" s="285">
        <f>SUM(H32:H35)</f>
        <v>382000</v>
      </c>
      <c r="I31" s="285">
        <f>SUM(I32:I35)</f>
        <v>87000</v>
      </c>
      <c r="J31" s="285"/>
      <c r="K31" s="285"/>
      <c r="L31" s="287"/>
    </row>
    <row r="32" spans="1:13" ht="12.75">
      <c r="A32" s="1786"/>
      <c r="B32" s="1827"/>
      <c r="C32" s="1836"/>
      <c r="D32" s="289">
        <v>4010</v>
      </c>
      <c r="E32" s="290">
        <f>SUM(F32,L32)</f>
        <v>317000</v>
      </c>
      <c r="F32" s="290">
        <f t="shared" si="6"/>
        <v>317000</v>
      </c>
      <c r="G32" s="290">
        <f>SUM(H32:I32)</f>
        <v>317000</v>
      </c>
      <c r="H32" s="290">
        <v>317000</v>
      </c>
      <c r="I32" s="290"/>
      <c r="J32" s="290"/>
      <c r="K32" s="290"/>
      <c r="L32" s="293"/>
      <c r="M32" s="256"/>
    </row>
    <row r="33" spans="1:13" ht="12.75">
      <c r="A33" s="1786"/>
      <c r="B33" s="1827"/>
      <c r="C33" s="1836"/>
      <c r="D33" s="289">
        <v>4110</v>
      </c>
      <c r="E33" s="290">
        <f t="shared" ref="E33:E43" si="7">SUM(F33,L33)</f>
        <v>58000</v>
      </c>
      <c r="F33" s="290">
        <f t="shared" si="6"/>
        <v>58000</v>
      </c>
      <c r="G33" s="290">
        <f t="shared" ref="G33:G35" si="8">SUM(H33:I33)</f>
        <v>58000</v>
      </c>
      <c r="H33" s="290">
        <v>58000</v>
      </c>
      <c r="I33" s="290"/>
      <c r="J33" s="290"/>
      <c r="K33" s="290"/>
      <c r="L33" s="293"/>
      <c r="M33" s="256"/>
    </row>
    <row r="34" spans="1:13" ht="12.75">
      <c r="A34" s="1786"/>
      <c r="B34" s="1827"/>
      <c r="C34" s="1836"/>
      <c r="D34" s="289">
        <v>4120</v>
      </c>
      <c r="E34" s="290">
        <f t="shared" si="7"/>
        <v>7000</v>
      </c>
      <c r="F34" s="290">
        <f t="shared" si="6"/>
        <v>7000</v>
      </c>
      <c r="G34" s="290">
        <f t="shared" si="8"/>
        <v>7000</v>
      </c>
      <c r="H34" s="290">
        <v>7000</v>
      </c>
      <c r="I34" s="290"/>
      <c r="J34" s="290"/>
      <c r="K34" s="290"/>
      <c r="L34" s="293"/>
      <c r="M34" s="256"/>
    </row>
    <row r="35" spans="1:13" ht="12.75">
      <c r="A35" s="1786"/>
      <c r="B35" s="1827"/>
      <c r="C35" s="1836"/>
      <c r="D35" s="289">
        <v>4300</v>
      </c>
      <c r="E35" s="290">
        <f t="shared" si="7"/>
        <v>87000</v>
      </c>
      <c r="F35" s="290">
        <f t="shared" si="6"/>
        <v>87000</v>
      </c>
      <c r="G35" s="290">
        <f t="shared" si="8"/>
        <v>87000</v>
      </c>
      <c r="H35" s="290"/>
      <c r="I35" s="290">
        <v>87000</v>
      </c>
      <c r="J35" s="290"/>
      <c r="K35" s="290"/>
      <c r="L35" s="293"/>
      <c r="M35" s="256"/>
    </row>
    <row r="36" spans="1:13" ht="27.75" customHeight="1">
      <c r="A36" s="1786"/>
      <c r="B36" s="1818" t="s">
        <v>361</v>
      </c>
      <c r="C36" s="1821" t="s">
        <v>129</v>
      </c>
      <c r="D36" s="271" t="s">
        <v>766</v>
      </c>
      <c r="E36" s="285">
        <f>SUM(F36,L36)</f>
        <v>121000</v>
      </c>
      <c r="F36" s="285">
        <f>SUM(G36,J36,K36)</f>
        <v>100000</v>
      </c>
      <c r="G36" s="285">
        <f>SUM(H36:I36)</f>
        <v>100000</v>
      </c>
      <c r="H36" s="285"/>
      <c r="I36" s="285">
        <f>SUM(I37:I38)</f>
        <v>100000</v>
      </c>
      <c r="J36" s="285"/>
      <c r="K36" s="285"/>
      <c r="L36" s="287">
        <f>SUM(L37:L38)</f>
        <v>21000</v>
      </c>
    </row>
    <row r="37" spans="1:13" ht="12.75">
      <c r="A37" s="1786"/>
      <c r="B37" s="1827"/>
      <c r="C37" s="1836"/>
      <c r="D37" s="289">
        <v>4270</v>
      </c>
      <c r="E37" s="290">
        <f t="shared" si="7"/>
        <v>100000</v>
      </c>
      <c r="F37" s="290">
        <f>SUM(G37,J37,K37)</f>
        <v>100000</v>
      </c>
      <c r="G37" s="290">
        <f>H37+I37</f>
        <v>100000</v>
      </c>
      <c r="H37" s="290"/>
      <c r="I37" s="290">
        <v>100000</v>
      </c>
      <c r="J37" s="290"/>
      <c r="K37" s="290"/>
      <c r="L37" s="293"/>
    </row>
    <row r="38" spans="1:13" ht="12.75">
      <c r="A38" s="1775"/>
      <c r="B38" s="1835"/>
      <c r="C38" s="1837"/>
      <c r="D38" s="289">
        <v>6050</v>
      </c>
      <c r="E38" s="290">
        <f t="shared" si="7"/>
        <v>21000</v>
      </c>
      <c r="F38" s="290"/>
      <c r="G38" s="290"/>
      <c r="H38" s="290"/>
      <c r="I38" s="290"/>
      <c r="J38" s="290"/>
      <c r="K38" s="290"/>
      <c r="L38" s="293">
        <v>21000</v>
      </c>
    </row>
    <row r="39" spans="1:13" ht="29.25" customHeight="1">
      <c r="A39" s="1777" t="s">
        <v>4</v>
      </c>
      <c r="B39" s="1833" t="s">
        <v>21</v>
      </c>
      <c r="C39" s="1833"/>
      <c r="D39" s="300"/>
      <c r="E39" s="296">
        <f t="shared" si="7"/>
        <v>434000</v>
      </c>
      <c r="F39" s="296">
        <f>SUM(G39,J39,K39)</f>
        <v>434000</v>
      </c>
      <c r="G39" s="296">
        <f>SUM(H39:I39)</f>
        <v>434000</v>
      </c>
      <c r="H39" s="296">
        <f>SUM(H40,H44)</f>
        <v>424000</v>
      </c>
      <c r="I39" s="296">
        <f t="shared" ref="I39" si="9">SUM(I40:I44)</f>
        <v>10000</v>
      </c>
      <c r="J39" s="296"/>
      <c r="K39" s="296"/>
      <c r="L39" s="297"/>
    </row>
    <row r="40" spans="1:13" s="302" customFormat="1" ht="23.25" customHeight="1">
      <c r="A40" s="1786"/>
      <c r="B40" s="1818" t="s">
        <v>373</v>
      </c>
      <c r="C40" s="1821" t="s">
        <v>374</v>
      </c>
      <c r="D40" s="271" t="s">
        <v>766</v>
      </c>
      <c r="E40" s="285">
        <f t="shared" si="7"/>
        <v>414000</v>
      </c>
      <c r="F40" s="285">
        <f>SUM(G40,J40,K40)</f>
        <v>414000</v>
      </c>
      <c r="G40" s="285">
        <f>SUM(H40:I40)</f>
        <v>414000</v>
      </c>
      <c r="H40" s="285">
        <f>SUM(H41:H43)</f>
        <v>414000</v>
      </c>
      <c r="I40" s="285"/>
      <c r="J40" s="285"/>
      <c r="K40" s="285"/>
      <c r="L40" s="287"/>
      <c r="M40" s="301"/>
    </row>
    <row r="41" spans="1:13" s="302" customFormat="1" ht="12.75">
      <c r="A41" s="1786"/>
      <c r="B41" s="1827"/>
      <c r="C41" s="1836"/>
      <c r="D41" s="289">
        <v>4010</v>
      </c>
      <c r="E41" s="290">
        <f t="shared" si="7"/>
        <v>346038</v>
      </c>
      <c r="F41" s="290">
        <f>SUM(G41,J41,K41)</f>
        <v>346038</v>
      </c>
      <c r="G41" s="290">
        <f>SUM(H41:I41)</f>
        <v>346038</v>
      </c>
      <c r="H41" s="290">
        <v>346038</v>
      </c>
      <c r="I41" s="290"/>
      <c r="J41" s="290"/>
      <c r="K41" s="290"/>
      <c r="L41" s="293"/>
    </row>
    <row r="42" spans="1:13" s="302" customFormat="1" ht="12.75">
      <c r="A42" s="1786"/>
      <c r="B42" s="1827"/>
      <c r="C42" s="1836"/>
      <c r="D42" s="289">
        <v>4110</v>
      </c>
      <c r="E42" s="290">
        <f t="shared" si="7"/>
        <v>59484</v>
      </c>
      <c r="F42" s="290">
        <f t="shared" ref="F42:F43" si="10">SUM(G42,J42,K42)</f>
        <v>59484</v>
      </c>
      <c r="G42" s="290">
        <f t="shared" ref="G42:G43" si="11">SUM(H42:I42)</f>
        <v>59484</v>
      </c>
      <c r="H42" s="290">
        <v>59484</v>
      </c>
      <c r="I42" s="290"/>
      <c r="J42" s="290"/>
      <c r="K42" s="290"/>
      <c r="L42" s="293"/>
      <c r="M42" s="301"/>
    </row>
    <row r="43" spans="1:13" s="302" customFormat="1" ht="12.75">
      <c r="A43" s="1786"/>
      <c r="B43" s="1835"/>
      <c r="C43" s="1837"/>
      <c r="D43" s="289">
        <v>4120</v>
      </c>
      <c r="E43" s="290">
        <f t="shared" si="7"/>
        <v>8478</v>
      </c>
      <c r="F43" s="290">
        <f t="shared" si="10"/>
        <v>8478</v>
      </c>
      <c r="G43" s="290">
        <f t="shared" si="11"/>
        <v>8478</v>
      </c>
      <c r="H43" s="290">
        <v>8478</v>
      </c>
      <c r="I43" s="290"/>
      <c r="J43" s="290"/>
      <c r="K43" s="290"/>
      <c r="L43" s="293"/>
    </row>
    <row r="44" spans="1:13" ht="24" customHeight="1">
      <c r="A44" s="1786"/>
      <c r="B44" s="1818" t="s">
        <v>424</v>
      </c>
      <c r="C44" s="1821" t="s">
        <v>425</v>
      </c>
      <c r="D44" s="271" t="s">
        <v>766</v>
      </c>
      <c r="E44" s="285">
        <f>SUM(F44,L44)</f>
        <v>20000</v>
      </c>
      <c r="F44" s="285">
        <f>SUM(G44,J44,K44)</f>
        <v>20000</v>
      </c>
      <c r="G44" s="285">
        <f>SUM(H44:I44)</f>
        <v>20000</v>
      </c>
      <c r="H44" s="285">
        <f>SUM(H45:H49)</f>
        <v>10000</v>
      </c>
      <c r="I44" s="285">
        <f>SUM(I45:I49)</f>
        <v>10000</v>
      </c>
      <c r="J44" s="286"/>
      <c r="K44" s="286"/>
      <c r="L44" s="298"/>
    </row>
    <row r="45" spans="1:13" ht="12.75">
      <c r="A45" s="1786"/>
      <c r="B45" s="1827"/>
      <c r="C45" s="1836"/>
      <c r="D45" s="289">
        <v>4110</v>
      </c>
      <c r="E45" s="290">
        <f>SUM(F45,L45)</f>
        <v>700</v>
      </c>
      <c r="F45" s="290">
        <f>SUM(G45,J45,K45)</f>
        <v>700</v>
      </c>
      <c r="G45" s="290">
        <f>SUM(H45:I45)</f>
        <v>700</v>
      </c>
      <c r="H45" s="290">
        <v>700</v>
      </c>
      <c r="I45" s="290"/>
      <c r="J45" s="291"/>
      <c r="K45" s="291"/>
      <c r="L45" s="292"/>
    </row>
    <row r="46" spans="1:13" ht="12.75">
      <c r="A46" s="1786"/>
      <c r="B46" s="1827"/>
      <c r="C46" s="1836"/>
      <c r="D46" s="289">
        <v>4120</v>
      </c>
      <c r="E46" s="290">
        <f t="shared" ref="E46:E49" si="12">SUM(F46,L46)</f>
        <v>140</v>
      </c>
      <c r="F46" s="290">
        <f t="shared" ref="F46:F49" si="13">SUM(G46,J46,K46)</f>
        <v>140</v>
      </c>
      <c r="G46" s="290">
        <f t="shared" ref="G46:G58" si="14">SUM(H46:I46)</f>
        <v>140</v>
      </c>
      <c r="H46" s="290">
        <v>140</v>
      </c>
      <c r="I46" s="290"/>
      <c r="J46" s="291"/>
      <c r="K46" s="291"/>
      <c r="L46" s="292"/>
    </row>
    <row r="47" spans="1:13" ht="12.75">
      <c r="A47" s="1786"/>
      <c r="B47" s="1827"/>
      <c r="C47" s="1836"/>
      <c r="D47" s="289">
        <v>4170</v>
      </c>
      <c r="E47" s="290">
        <f t="shared" si="12"/>
        <v>9160</v>
      </c>
      <c r="F47" s="290">
        <f t="shared" si="13"/>
        <v>9160</v>
      </c>
      <c r="G47" s="290">
        <f t="shared" si="14"/>
        <v>9160</v>
      </c>
      <c r="H47" s="290">
        <v>9160</v>
      </c>
      <c r="I47" s="290"/>
      <c r="J47" s="291"/>
      <c r="K47" s="291"/>
      <c r="L47" s="292"/>
      <c r="M47" s="256"/>
    </row>
    <row r="48" spans="1:13" ht="12.75">
      <c r="A48" s="1786"/>
      <c r="B48" s="1827"/>
      <c r="C48" s="1836"/>
      <c r="D48" s="289">
        <v>4210</v>
      </c>
      <c r="E48" s="290">
        <f t="shared" si="12"/>
        <v>1500</v>
      </c>
      <c r="F48" s="290">
        <f t="shared" si="13"/>
        <v>1500</v>
      </c>
      <c r="G48" s="290">
        <f t="shared" si="14"/>
        <v>1500</v>
      </c>
      <c r="H48" s="290"/>
      <c r="I48" s="290">
        <v>1500</v>
      </c>
      <c r="J48" s="291"/>
      <c r="K48" s="291"/>
      <c r="L48" s="292"/>
    </row>
    <row r="49" spans="1:13" ht="12.75">
      <c r="A49" s="1775"/>
      <c r="B49" s="1835"/>
      <c r="C49" s="1837"/>
      <c r="D49" s="289">
        <v>4300</v>
      </c>
      <c r="E49" s="290">
        <f t="shared" si="12"/>
        <v>8500</v>
      </c>
      <c r="F49" s="290">
        <f t="shared" si="13"/>
        <v>8500</v>
      </c>
      <c r="G49" s="290">
        <f t="shared" si="14"/>
        <v>8500</v>
      </c>
      <c r="H49" s="290"/>
      <c r="I49" s="290">
        <v>8500</v>
      </c>
      <c r="J49" s="291"/>
      <c r="K49" s="291"/>
      <c r="L49" s="292"/>
      <c r="M49" s="256"/>
    </row>
    <row r="50" spans="1:13" ht="29.25" customHeight="1">
      <c r="A50" s="1832" t="s">
        <v>469</v>
      </c>
      <c r="B50" s="1833" t="s">
        <v>749</v>
      </c>
      <c r="C50" s="1833"/>
      <c r="D50" s="300"/>
      <c r="E50" s="296">
        <f>SUM(E51)</f>
        <v>3000</v>
      </c>
      <c r="F50" s="296">
        <f>SUM(F51)</f>
        <v>3000</v>
      </c>
      <c r="G50" s="296">
        <f t="shared" si="14"/>
        <v>3000</v>
      </c>
      <c r="H50" s="296"/>
      <c r="I50" s="296">
        <f>SUM(I51)</f>
        <v>3000</v>
      </c>
      <c r="J50" s="296"/>
      <c r="K50" s="296"/>
      <c r="L50" s="297"/>
    </row>
    <row r="51" spans="1:13" ht="27" customHeight="1" thickBot="1">
      <c r="A51" s="1815"/>
      <c r="B51" s="1087" t="s">
        <v>471</v>
      </c>
      <c r="C51" s="1088" t="s">
        <v>472</v>
      </c>
      <c r="D51" s="1088">
        <v>4210</v>
      </c>
      <c r="E51" s="1104">
        <f>SUM(F51,L51)</f>
        <v>3000</v>
      </c>
      <c r="F51" s="1104">
        <f>SUM(G51,J51,K51)</f>
        <v>3000</v>
      </c>
      <c r="G51" s="1104">
        <f t="shared" si="14"/>
        <v>3000</v>
      </c>
      <c r="H51" s="1104"/>
      <c r="I51" s="1104">
        <v>3000</v>
      </c>
      <c r="J51" s="1104"/>
      <c r="K51" s="1104"/>
      <c r="L51" s="1105"/>
    </row>
    <row r="52" spans="1:13" ht="12.75">
      <c r="A52" s="1814" t="s">
        <v>552</v>
      </c>
      <c r="B52" s="1834" t="s">
        <v>756</v>
      </c>
      <c r="C52" s="1834"/>
      <c r="D52" s="1107"/>
      <c r="E52" s="1108">
        <f>SUM(E53:E54)</f>
        <v>37000</v>
      </c>
      <c r="F52" s="1108">
        <f>SUM(F53:F54)</f>
        <v>37000</v>
      </c>
      <c r="G52" s="1108">
        <f t="shared" si="14"/>
        <v>37000</v>
      </c>
      <c r="H52" s="1108">
        <f>H53+H54</f>
        <v>7178</v>
      </c>
      <c r="I52" s="1108">
        <f>I53+I54</f>
        <v>29822</v>
      </c>
      <c r="J52" s="1108"/>
      <c r="K52" s="1108"/>
      <c r="L52" s="1109">
        <f>SUM(L53:L53)</f>
        <v>0</v>
      </c>
    </row>
    <row r="53" spans="1:13" ht="84.75" customHeight="1">
      <c r="A53" s="1815"/>
      <c r="B53" s="294" t="s">
        <v>579</v>
      </c>
      <c r="C53" s="271" t="s">
        <v>580</v>
      </c>
      <c r="D53" s="271">
        <v>4130</v>
      </c>
      <c r="E53" s="285">
        <f t="shared" ref="E53:E81" si="15">SUM(F53,L53)</f>
        <v>27000</v>
      </c>
      <c r="F53" s="285">
        <f>SUM(G53,J53,K53)</f>
        <v>27000</v>
      </c>
      <c r="G53" s="285">
        <f t="shared" si="14"/>
        <v>27000</v>
      </c>
      <c r="H53" s="285"/>
      <c r="I53" s="285">
        <v>27000</v>
      </c>
      <c r="J53" s="285"/>
      <c r="K53" s="285"/>
      <c r="L53" s="287"/>
    </row>
    <row r="54" spans="1:13" ht="24" customHeight="1">
      <c r="A54" s="1815"/>
      <c r="B54" s="1818" t="s">
        <v>583</v>
      </c>
      <c r="C54" s="1821" t="s">
        <v>129</v>
      </c>
      <c r="D54" s="271" t="s">
        <v>766</v>
      </c>
      <c r="E54" s="285">
        <f>SUM(F54,L54)</f>
        <v>10000</v>
      </c>
      <c r="F54" s="285">
        <f>SUM(G54,J54,K54)</f>
        <v>10000</v>
      </c>
      <c r="G54" s="285">
        <f t="shared" si="14"/>
        <v>10000</v>
      </c>
      <c r="H54" s="285">
        <f>SUM(H55:H58)</f>
        <v>7178</v>
      </c>
      <c r="I54" s="285">
        <f>SUM(I55:I58)</f>
        <v>2822</v>
      </c>
      <c r="J54" s="286"/>
      <c r="K54" s="286"/>
      <c r="L54" s="298"/>
    </row>
    <row r="55" spans="1:13" ht="12.75">
      <c r="A55" s="1815"/>
      <c r="B55" s="1819"/>
      <c r="C55" s="1822"/>
      <c r="D55" s="289">
        <v>4110</v>
      </c>
      <c r="E55" s="290">
        <f>SUM(F55,L55)</f>
        <v>1031</v>
      </c>
      <c r="F55" s="290">
        <f>SUM(G55,J55,K55)</f>
        <v>1031</v>
      </c>
      <c r="G55" s="290">
        <f t="shared" si="14"/>
        <v>1031</v>
      </c>
      <c r="H55" s="290">
        <v>1031</v>
      </c>
      <c r="I55" s="290"/>
      <c r="J55" s="290"/>
      <c r="K55" s="290"/>
      <c r="L55" s="293"/>
    </row>
    <row r="56" spans="1:13" ht="12.75">
      <c r="A56" s="1815"/>
      <c r="B56" s="1819"/>
      <c r="C56" s="1822"/>
      <c r="D56" s="289">
        <v>4120</v>
      </c>
      <c r="E56" s="290">
        <f t="shared" ref="E56:E58" si="16">SUM(F56,L56)</f>
        <v>147</v>
      </c>
      <c r="F56" s="290">
        <f t="shared" ref="F56:F58" si="17">SUM(G56,J56,K56)</f>
        <v>147</v>
      </c>
      <c r="G56" s="290">
        <f t="shared" si="14"/>
        <v>147</v>
      </c>
      <c r="H56" s="290">
        <v>147</v>
      </c>
      <c r="I56" s="290"/>
      <c r="J56" s="290"/>
      <c r="K56" s="290"/>
      <c r="L56" s="293"/>
    </row>
    <row r="57" spans="1:13" ht="12.75">
      <c r="A57" s="1815"/>
      <c r="B57" s="1819"/>
      <c r="C57" s="1822"/>
      <c r="D57" s="289">
        <v>4170</v>
      </c>
      <c r="E57" s="290">
        <f t="shared" si="16"/>
        <v>6000</v>
      </c>
      <c r="F57" s="290">
        <f t="shared" si="17"/>
        <v>6000</v>
      </c>
      <c r="G57" s="290">
        <f t="shared" si="14"/>
        <v>6000</v>
      </c>
      <c r="H57" s="290">
        <v>6000</v>
      </c>
      <c r="I57" s="290"/>
      <c r="J57" s="290"/>
      <c r="K57" s="290"/>
      <c r="L57" s="293"/>
      <c r="M57" s="256"/>
    </row>
    <row r="58" spans="1:13" ht="13.5" thickBot="1">
      <c r="A58" s="1816"/>
      <c r="B58" s="1824"/>
      <c r="C58" s="1825"/>
      <c r="D58" s="1110">
        <v>4300</v>
      </c>
      <c r="E58" s="1111">
        <f t="shared" si="16"/>
        <v>2822</v>
      </c>
      <c r="F58" s="1111">
        <f t="shared" si="17"/>
        <v>2822</v>
      </c>
      <c r="G58" s="1111">
        <f t="shared" si="14"/>
        <v>2822</v>
      </c>
      <c r="H58" s="1111"/>
      <c r="I58" s="1111">
        <v>2822</v>
      </c>
      <c r="J58" s="1111"/>
      <c r="K58" s="1111"/>
      <c r="L58" s="1112"/>
      <c r="M58" s="256"/>
    </row>
    <row r="59" spans="1:13" ht="25.5" customHeight="1">
      <c r="A59" s="1814" t="s">
        <v>584</v>
      </c>
      <c r="B59" s="1817" t="s">
        <v>750</v>
      </c>
      <c r="C59" s="1817"/>
      <c r="D59" s="1114"/>
      <c r="E59" s="1108">
        <f t="shared" si="15"/>
        <v>2969000</v>
      </c>
      <c r="F59" s="1108">
        <f>SUM(G59,J59,K59)</f>
        <v>2969000</v>
      </c>
      <c r="G59" s="1108">
        <f>SUM(H59:I59)</f>
        <v>2965700</v>
      </c>
      <c r="H59" s="1108">
        <f>SUM(H60,H82)</f>
        <v>2345953</v>
      </c>
      <c r="I59" s="1108">
        <f>SUM(I60,I82)</f>
        <v>619747</v>
      </c>
      <c r="J59" s="1108"/>
      <c r="K59" s="1108">
        <f>SUM(K60,K82)</f>
        <v>3300</v>
      </c>
      <c r="L59" s="1109"/>
    </row>
    <row r="60" spans="1:13" ht="31.5" customHeight="1">
      <c r="A60" s="1815"/>
      <c r="B60" s="1818" t="s">
        <v>591</v>
      </c>
      <c r="C60" s="1821" t="s">
        <v>751</v>
      </c>
      <c r="D60" s="271" t="s">
        <v>766</v>
      </c>
      <c r="E60" s="285">
        <f t="shared" si="15"/>
        <v>2219000</v>
      </c>
      <c r="F60" s="285">
        <f>SUM(G60,J60,K60)</f>
        <v>2219000</v>
      </c>
      <c r="G60" s="285">
        <f>SUM(H60:I60)</f>
        <v>2217700</v>
      </c>
      <c r="H60" s="285">
        <f>SUM(H61:H81)</f>
        <v>1718169</v>
      </c>
      <c r="I60" s="285">
        <f t="shared" ref="I60:L60" si="18">SUM(I61:I81)</f>
        <v>499531</v>
      </c>
      <c r="J60" s="285">
        <f t="shared" si="18"/>
        <v>0</v>
      </c>
      <c r="K60" s="285">
        <f t="shared" si="18"/>
        <v>1300</v>
      </c>
      <c r="L60" s="287">
        <f t="shared" si="18"/>
        <v>0</v>
      </c>
      <c r="M60" s="256"/>
    </row>
    <row r="61" spans="1:13" ht="12.75">
      <c r="A61" s="1815"/>
      <c r="B61" s="1819"/>
      <c r="C61" s="1822"/>
      <c r="D61" s="289">
        <v>3020</v>
      </c>
      <c r="E61" s="290">
        <f t="shared" si="15"/>
        <v>1300</v>
      </c>
      <c r="F61" s="290">
        <f>SUM(G61,J61,K61)</f>
        <v>1300</v>
      </c>
      <c r="G61" s="290">
        <f>SUM(H61:I61)</f>
        <v>0</v>
      </c>
      <c r="H61" s="290"/>
      <c r="I61" s="290"/>
      <c r="J61" s="290"/>
      <c r="K61" s="290">
        <v>1300</v>
      </c>
      <c r="L61" s="293"/>
      <c r="M61" s="256"/>
    </row>
    <row r="62" spans="1:13" ht="12.75">
      <c r="A62" s="1815"/>
      <c r="B62" s="1819"/>
      <c r="C62" s="1822"/>
      <c r="D62" s="289">
        <v>4010</v>
      </c>
      <c r="E62" s="290">
        <f t="shared" si="15"/>
        <v>1287241</v>
      </c>
      <c r="F62" s="290">
        <f>SUM(G62,J62,K62)</f>
        <v>1287241</v>
      </c>
      <c r="G62" s="290">
        <f>SUM(H62:I62)</f>
        <v>1287241</v>
      </c>
      <c r="H62" s="290">
        <v>1287241</v>
      </c>
      <c r="I62" s="290"/>
      <c r="J62" s="290"/>
      <c r="K62" s="290"/>
      <c r="L62" s="293"/>
    </row>
    <row r="63" spans="1:13" ht="12.75">
      <c r="A63" s="1815"/>
      <c r="B63" s="1819"/>
      <c r="C63" s="1822"/>
      <c r="D63" s="289">
        <v>4040</v>
      </c>
      <c r="E63" s="290">
        <f t="shared" si="15"/>
        <v>106439</v>
      </c>
      <c r="F63" s="290">
        <f t="shared" ref="F63:F81" si="19">SUM(G63,J63,K63)</f>
        <v>106439</v>
      </c>
      <c r="G63" s="290">
        <f t="shared" ref="G63:G81" si="20">SUM(H63:I63)</f>
        <v>106439</v>
      </c>
      <c r="H63" s="290">
        <v>106439</v>
      </c>
      <c r="I63" s="290"/>
      <c r="J63" s="290"/>
      <c r="K63" s="290"/>
      <c r="L63" s="293"/>
    </row>
    <row r="64" spans="1:13" ht="12.75">
      <c r="A64" s="1815"/>
      <c r="B64" s="1819"/>
      <c r="C64" s="1822"/>
      <c r="D64" s="289">
        <v>4110</v>
      </c>
      <c r="E64" s="290">
        <f t="shared" si="15"/>
        <v>241536</v>
      </c>
      <c r="F64" s="290">
        <f t="shared" si="19"/>
        <v>241536</v>
      </c>
      <c r="G64" s="290">
        <f t="shared" si="20"/>
        <v>241536</v>
      </c>
      <c r="H64" s="290">
        <v>241536</v>
      </c>
      <c r="I64" s="290"/>
      <c r="J64" s="290"/>
      <c r="K64" s="290"/>
      <c r="L64" s="293"/>
    </row>
    <row r="65" spans="1:12" ht="12.75">
      <c r="A65" s="1815"/>
      <c r="B65" s="1819"/>
      <c r="C65" s="1822"/>
      <c r="D65" s="289">
        <v>4120</v>
      </c>
      <c r="E65" s="290">
        <f t="shared" si="15"/>
        <v>34953</v>
      </c>
      <c r="F65" s="290">
        <f t="shared" si="19"/>
        <v>34953</v>
      </c>
      <c r="G65" s="290">
        <f t="shared" si="20"/>
        <v>34953</v>
      </c>
      <c r="H65" s="290">
        <v>34953</v>
      </c>
      <c r="I65" s="290"/>
      <c r="J65" s="290"/>
      <c r="K65" s="290"/>
      <c r="L65" s="293"/>
    </row>
    <row r="66" spans="1:12" ht="12.75">
      <c r="A66" s="1815"/>
      <c r="B66" s="1819"/>
      <c r="C66" s="1822"/>
      <c r="D66" s="289">
        <v>4170</v>
      </c>
      <c r="E66" s="290">
        <f t="shared" si="15"/>
        <v>48000</v>
      </c>
      <c r="F66" s="290">
        <f t="shared" si="19"/>
        <v>48000</v>
      </c>
      <c r="G66" s="290">
        <f t="shared" si="20"/>
        <v>48000</v>
      </c>
      <c r="H66" s="290">
        <v>48000</v>
      </c>
      <c r="I66" s="290"/>
      <c r="J66" s="290"/>
      <c r="K66" s="290"/>
      <c r="L66" s="293"/>
    </row>
    <row r="67" spans="1:12" ht="12.75">
      <c r="A67" s="1815"/>
      <c r="B67" s="1819"/>
      <c r="C67" s="1822"/>
      <c r="D67" s="289">
        <v>4140</v>
      </c>
      <c r="E67" s="290">
        <f t="shared" si="15"/>
        <v>5944</v>
      </c>
      <c r="F67" s="290">
        <f t="shared" si="19"/>
        <v>5944</v>
      </c>
      <c r="G67" s="290">
        <f t="shared" si="20"/>
        <v>5944</v>
      </c>
      <c r="H67" s="290"/>
      <c r="I67" s="290">
        <v>5944</v>
      </c>
      <c r="J67" s="290"/>
      <c r="K67" s="290"/>
      <c r="L67" s="293"/>
    </row>
    <row r="68" spans="1:12" ht="12.75">
      <c r="A68" s="1815"/>
      <c r="B68" s="1819"/>
      <c r="C68" s="1822"/>
      <c r="D68" s="289">
        <v>4210</v>
      </c>
      <c r="E68" s="290">
        <f t="shared" si="15"/>
        <v>47990</v>
      </c>
      <c r="F68" s="290">
        <f t="shared" si="19"/>
        <v>47990</v>
      </c>
      <c r="G68" s="290">
        <f t="shared" si="20"/>
        <v>47990</v>
      </c>
      <c r="H68" s="290"/>
      <c r="I68" s="290">
        <v>47990</v>
      </c>
      <c r="J68" s="290"/>
      <c r="K68" s="290"/>
      <c r="L68" s="293"/>
    </row>
    <row r="69" spans="1:12" ht="12.75">
      <c r="A69" s="1815"/>
      <c r="B69" s="1819"/>
      <c r="C69" s="1822"/>
      <c r="D69" s="289">
        <v>4260</v>
      </c>
      <c r="E69" s="290">
        <f t="shared" si="15"/>
        <v>19500</v>
      </c>
      <c r="F69" s="290">
        <f t="shared" si="19"/>
        <v>19500</v>
      </c>
      <c r="G69" s="290">
        <f t="shared" si="20"/>
        <v>19500</v>
      </c>
      <c r="H69" s="290"/>
      <c r="I69" s="290">
        <v>19500</v>
      </c>
      <c r="J69" s="290"/>
      <c r="K69" s="290"/>
      <c r="L69" s="293"/>
    </row>
    <row r="70" spans="1:12" ht="12.75">
      <c r="A70" s="1815"/>
      <c r="B70" s="1819"/>
      <c r="C70" s="1822"/>
      <c r="D70" s="289">
        <v>4270</v>
      </c>
      <c r="E70" s="290">
        <f t="shared" si="15"/>
        <v>2800</v>
      </c>
      <c r="F70" s="290">
        <f t="shared" si="19"/>
        <v>2800</v>
      </c>
      <c r="G70" s="290">
        <f t="shared" si="20"/>
        <v>2800</v>
      </c>
      <c r="H70" s="290"/>
      <c r="I70" s="290">
        <v>2800</v>
      </c>
      <c r="J70" s="290"/>
      <c r="K70" s="290"/>
      <c r="L70" s="293"/>
    </row>
    <row r="71" spans="1:12" ht="12.75">
      <c r="A71" s="1815"/>
      <c r="B71" s="1819"/>
      <c r="C71" s="1822"/>
      <c r="D71" s="289">
        <v>4280</v>
      </c>
      <c r="E71" s="290">
        <f t="shared" si="15"/>
        <v>4500</v>
      </c>
      <c r="F71" s="290">
        <f t="shared" si="19"/>
        <v>4500</v>
      </c>
      <c r="G71" s="290">
        <f t="shared" si="20"/>
        <v>4500</v>
      </c>
      <c r="H71" s="290"/>
      <c r="I71" s="290">
        <v>4500</v>
      </c>
      <c r="J71" s="290"/>
      <c r="K71" s="290"/>
      <c r="L71" s="293"/>
    </row>
    <row r="72" spans="1:12" ht="12.75">
      <c r="A72" s="1815"/>
      <c r="B72" s="1819"/>
      <c r="C72" s="1822"/>
      <c r="D72" s="289">
        <v>4300</v>
      </c>
      <c r="E72" s="290">
        <f t="shared" si="15"/>
        <v>312221</v>
      </c>
      <c r="F72" s="290">
        <f t="shared" si="19"/>
        <v>312221</v>
      </c>
      <c r="G72" s="290">
        <f t="shared" si="20"/>
        <v>312221</v>
      </c>
      <c r="H72" s="290"/>
      <c r="I72" s="290">
        <v>312221</v>
      </c>
      <c r="J72" s="290"/>
      <c r="K72" s="290"/>
      <c r="L72" s="293"/>
    </row>
    <row r="73" spans="1:12" ht="12.75">
      <c r="A73" s="1815"/>
      <c r="B73" s="1819"/>
      <c r="C73" s="1822"/>
      <c r="D73" s="289">
        <v>4360</v>
      </c>
      <c r="E73" s="290">
        <f t="shared" si="15"/>
        <v>10000</v>
      </c>
      <c r="F73" s="290">
        <f t="shared" si="19"/>
        <v>10000</v>
      </c>
      <c r="G73" s="290">
        <f t="shared" si="20"/>
        <v>10000</v>
      </c>
      <c r="H73" s="290"/>
      <c r="I73" s="290">
        <v>10000</v>
      </c>
      <c r="J73" s="290"/>
      <c r="K73" s="290"/>
      <c r="L73" s="293"/>
    </row>
    <row r="74" spans="1:12" ht="12.75">
      <c r="A74" s="1815"/>
      <c r="B74" s="1819"/>
      <c r="C74" s="1822"/>
      <c r="D74" s="289">
        <v>4380</v>
      </c>
      <c r="E74" s="290">
        <f t="shared" si="15"/>
        <v>15000</v>
      </c>
      <c r="F74" s="290">
        <f t="shared" si="19"/>
        <v>15000</v>
      </c>
      <c r="G74" s="290">
        <f t="shared" si="20"/>
        <v>15000</v>
      </c>
      <c r="H74" s="290"/>
      <c r="I74" s="290">
        <v>15000</v>
      </c>
      <c r="J74" s="290"/>
      <c r="K74" s="290"/>
      <c r="L74" s="293"/>
    </row>
    <row r="75" spans="1:12" ht="12.75">
      <c r="A75" s="1815"/>
      <c r="B75" s="1819"/>
      <c r="C75" s="1822"/>
      <c r="D75" s="289">
        <v>4400</v>
      </c>
      <c r="E75" s="290">
        <f t="shared" si="15"/>
        <v>32800</v>
      </c>
      <c r="F75" s="290">
        <f t="shared" si="19"/>
        <v>32800</v>
      </c>
      <c r="G75" s="290">
        <f t="shared" si="20"/>
        <v>32800</v>
      </c>
      <c r="H75" s="290"/>
      <c r="I75" s="290">
        <v>32800</v>
      </c>
      <c r="J75" s="290"/>
      <c r="K75" s="290"/>
      <c r="L75" s="293"/>
    </row>
    <row r="76" spans="1:12" ht="12.75">
      <c r="A76" s="1815"/>
      <c r="B76" s="1819"/>
      <c r="C76" s="1822"/>
      <c r="D76" s="289">
        <v>4410</v>
      </c>
      <c r="E76" s="290">
        <f t="shared" si="15"/>
        <v>1000</v>
      </c>
      <c r="F76" s="290">
        <f t="shared" si="19"/>
        <v>1000</v>
      </c>
      <c r="G76" s="290">
        <f t="shared" si="20"/>
        <v>1000</v>
      </c>
      <c r="H76" s="290"/>
      <c r="I76" s="290">
        <v>1000</v>
      </c>
      <c r="J76" s="290"/>
      <c r="K76" s="290"/>
      <c r="L76" s="293"/>
    </row>
    <row r="77" spans="1:12" ht="12.75">
      <c r="A77" s="1815"/>
      <c r="B77" s="1819"/>
      <c r="C77" s="1822"/>
      <c r="D77" s="289">
        <v>4440</v>
      </c>
      <c r="E77" s="290">
        <f t="shared" si="15"/>
        <v>40476</v>
      </c>
      <c r="F77" s="290">
        <f t="shared" si="19"/>
        <v>40476</v>
      </c>
      <c r="G77" s="290">
        <f t="shared" si="20"/>
        <v>40476</v>
      </c>
      <c r="H77" s="290"/>
      <c r="I77" s="290">
        <v>40476</v>
      </c>
      <c r="J77" s="290"/>
      <c r="K77" s="290"/>
      <c r="L77" s="293"/>
    </row>
    <row r="78" spans="1:12" ht="12.75">
      <c r="A78" s="1815"/>
      <c r="B78" s="1819"/>
      <c r="C78" s="1822"/>
      <c r="D78" s="289">
        <v>4480</v>
      </c>
      <c r="E78" s="290">
        <f t="shared" si="15"/>
        <v>3600</v>
      </c>
      <c r="F78" s="290">
        <f t="shared" si="19"/>
        <v>3600</v>
      </c>
      <c r="G78" s="290">
        <f t="shared" si="20"/>
        <v>3600</v>
      </c>
      <c r="H78" s="290"/>
      <c r="I78" s="290">
        <v>3600</v>
      </c>
      <c r="J78" s="290"/>
      <c r="K78" s="290"/>
      <c r="L78" s="293"/>
    </row>
    <row r="79" spans="1:12" ht="12.75">
      <c r="A79" s="1815"/>
      <c r="B79" s="1819"/>
      <c r="C79" s="1822"/>
      <c r="D79" s="289">
        <v>4520</v>
      </c>
      <c r="E79" s="290">
        <f t="shared" si="15"/>
        <v>2000</v>
      </c>
      <c r="F79" s="290">
        <f t="shared" si="19"/>
        <v>2000</v>
      </c>
      <c r="G79" s="290">
        <f t="shared" si="20"/>
        <v>2000</v>
      </c>
      <c r="H79" s="290"/>
      <c r="I79" s="290">
        <v>2000</v>
      </c>
      <c r="J79" s="290"/>
      <c r="K79" s="290"/>
      <c r="L79" s="293"/>
    </row>
    <row r="80" spans="1:12" ht="12.75">
      <c r="A80" s="1815"/>
      <c r="B80" s="1819"/>
      <c r="C80" s="1822"/>
      <c r="D80" s="289">
        <v>4610</v>
      </c>
      <c r="E80" s="290">
        <f t="shared" si="15"/>
        <v>200</v>
      </c>
      <c r="F80" s="290">
        <f t="shared" si="19"/>
        <v>200</v>
      </c>
      <c r="G80" s="290">
        <f t="shared" si="20"/>
        <v>200</v>
      </c>
      <c r="H80" s="290"/>
      <c r="I80" s="290">
        <v>200</v>
      </c>
      <c r="J80" s="290"/>
      <c r="K80" s="290"/>
      <c r="L80" s="293"/>
    </row>
    <row r="81" spans="1:13" ht="12.75">
      <c r="A81" s="1815"/>
      <c r="B81" s="1820"/>
      <c r="C81" s="1823"/>
      <c r="D81" s="289">
        <v>4700</v>
      </c>
      <c r="E81" s="290">
        <f t="shared" si="15"/>
        <v>1500</v>
      </c>
      <c r="F81" s="290">
        <f t="shared" si="19"/>
        <v>1500</v>
      </c>
      <c r="G81" s="290">
        <f t="shared" si="20"/>
        <v>1500</v>
      </c>
      <c r="H81" s="290"/>
      <c r="I81" s="290">
        <v>1500</v>
      </c>
      <c r="J81" s="290"/>
      <c r="K81" s="290"/>
      <c r="L81" s="293"/>
    </row>
    <row r="82" spans="1:13" ht="30" customHeight="1">
      <c r="A82" s="1815"/>
      <c r="B82" s="1818" t="s">
        <v>601</v>
      </c>
      <c r="C82" s="1821" t="s">
        <v>602</v>
      </c>
      <c r="D82" s="271" t="s">
        <v>766</v>
      </c>
      <c r="E82" s="285">
        <f>SUM(F82,L82)</f>
        <v>750000</v>
      </c>
      <c r="F82" s="285">
        <f>SUM(G82,J82,K82)</f>
        <v>750000</v>
      </c>
      <c r="G82" s="285">
        <f>SUM(H82:I82)</f>
        <v>748000</v>
      </c>
      <c r="H82" s="285">
        <f>SUM(H83:H101)</f>
        <v>627784</v>
      </c>
      <c r="I82" s="285">
        <f>SUM(I83:I101)</f>
        <v>120216</v>
      </c>
      <c r="J82" s="286"/>
      <c r="K82" s="285">
        <f t="shared" ref="K82" si="21">SUM(K83:K101)</f>
        <v>2000</v>
      </c>
      <c r="L82" s="298"/>
    </row>
    <row r="83" spans="1:13" ht="12.75">
      <c r="A83" s="1815"/>
      <c r="B83" s="1819"/>
      <c r="C83" s="1822"/>
      <c r="D83" s="289">
        <v>3020</v>
      </c>
      <c r="E83" s="290">
        <f>SUM(F83,L83)</f>
        <v>2000</v>
      </c>
      <c r="F83" s="290">
        <f>SUM(G83,J83,K83)</f>
        <v>2000</v>
      </c>
      <c r="G83" s="290"/>
      <c r="H83" s="290"/>
      <c r="I83" s="291"/>
      <c r="J83" s="291"/>
      <c r="K83" s="290">
        <v>2000</v>
      </c>
      <c r="L83" s="292"/>
    </row>
    <row r="84" spans="1:13" ht="12.75">
      <c r="A84" s="1815"/>
      <c r="B84" s="1819"/>
      <c r="C84" s="1822"/>
      <c r="D84" s="1085">
        <v>4010</v>
      </c>
      <c r="E84" s="290">
        <f t="shared" ref="E84:E101" si="22">SUM(F84,L84)</f>
        <v>478769</v>
      </c>
      <c r="F84" s="290">
        <f t="shared" ref="F84:F101" si="23">SUM(G84,J84,K84)</f>
        <v>478769</v>
      </c>
      <c r="G84" s="290">
        <f t="shared" ref="G84:G101" si="24">SUM(H84:I84)</f>
        <v>478769</v>
      </c>
      <c r="H84" s="290">
        <v>478769</v>
      </c>
      <c r="I84" s="291"/>
      <c r="J84" s="291"/>
      <c r="K84" s="291"/>
      <c r="L84" s="292"/>
      <c r="M84" s="256"/>
    </row>
    <row r="85" spans="1:13" ht="12.75">
      <c r="A85" s="1815"/>
      <c r="B85" s="1819"/>
      <c r="C85" s="1822"/>
      <c r="D85" s="1085">
        <v>4040</v>
      </c>
      <c r="E85" s="290">
        <f t="shared" si="22"/>
        <v>46170</v>
      </c>
      <c r="F85" s="290">
        <f t="shared" si="23"/>
        <v>46170</v>
      </c>
      <c r="G85" s="290">
        <f t="shared" si="24"/>
        <v>46170</v>
      </c>
      <c r="H85" s="290">
        <v>46170</v>
      </c>
      <c r="I85" s="291"/>
      <c r="J85" s="291"/>
      <c r="K85" s="291"/>
      <c r="L85" s="292"/>
    </row>
    <row r="86" spans="1:13" ht="12.75">
      <c r="A86" s="1815"/>
      <c r="B86" s="1819"/>
      <c r="C86" s="1822"/>
      <c r="D86" s="1085">
        <v>4110</v>
      </c>
      <c r="E86" s="290">
        <f t="shared" si="22"/>
        <v>88872</v>
      </c>
      <c r="F86" s="290">
        <f t="shared" si="23"/>
        <v>88872</v>
      </c>
      <c r="G86" s="290">
        <f t="shared" si="24"/>
        <v>88872</v>
      </c>
      <c r="H86" s="290">
        <v>88872</v>
      </c>
      <c r="I86" s="291"/>
      <c r="J86" s="291"/>
      <c r="K86" s="291"/>
      <c r="L86" s="292"/>
    </row>
    <row r="87" spans="1:13" ht="12.75">
      <c r="A87" s="1815"/>
      <c r="B87" s="1819"/>
      <c r="C87" s="1822"/>
      <c r="D87" s="1085">
        <v>4120</v>
      </c>
      <c r="E87" s="290">
        <f t="shared" si="22"/>
        <v>13973</v>
      </c>
      <c r="F87" s="290">
        <f t="shared" si="23"/>
        <v>13973</v>
      </c>
      <c r="G87" s="290">
        <f t="shared" si="24"/>
        <v>13973</v>
      </c>
      <c r="H87" s="290">
        <v>13973</v>
      </c>
      <c r="I87" s="291"/>
      <c r="J87" s="291"/>
      <c r="K87" s="291"/>
      <c r="L87" s="292"/>
      <c r="M87" s="256"/>
    </row>
    <row r="88" spans="1:13" ht="12.75">
      <c r="A88" s="1815"/>
      <c r="B88" s="1819"/>
      <c r="C88" s="1822"/>
      <c r="D88" s="289">
        <v>4140</v>
      </c>
      <c r="E88" s="290">
        <f t="shared" si="22"/>
        <v>1566</v>
      </c>
      <c r="F88" s="290">
        <f t="shared" si="23"/>
        <v>1566</v>
      </c>
      <c r="G88" s="290">
        <f t="shared" si="24"/>
        <v>1566</v>
      </c>
      <c r="H88" s="291"/>
      <c r="I88" s="290">
        <v>1566</v>
      </c>
      <c r="J88" s="291"/>
      <c r="K88" s="291"/>
      <c r="L88" s="292"/>
    </row>
    <row r="89" spans="1:13" ht="12.75">
      <c r="A89" s="1815"/>
      <c r="B89" s="1819"/>
      <c r="C89" s="1822"/>
      <c r="D89" s="289">
        <v>4210</v>
      </c>
      <c r="E89" s="290">
        <f t="shared" si="22"/>
        <v>10469</v>
      </c>
      <c r="F89" s="290">
        <f t="shared" si="23"/>
        <v>10469</v>
      </c>
      <c r="G89" s="290">
        <f t="shared" si="24"/>
        <v>10469</v>
      </c>
      <c r="H89" s="291"/>
      <c r="I89" s="290">
        <v>10469</v>
      </c>
      <c r="J89" s="291"/>
      <c r="K89" s="291"/>
      <c r="L89" s="292"/>
    </row>
    <row r="90" spans="1:13" ht="12.75">
      <c r="A90" s="1815"/>
      <c r="B90" s="1819"/>
      <c r="C90" s="1822"/>
      <c r="D90" s="289">
        <v>4260</v>
      </c>
      <c r="E90" s="290">
        <f t="shared" si="22"/>
        <v>7200</v>
      </c>
      <c r="F90" s="290">
        <f t="shared" si="23"/>
        <v>7200</v>
      </c>
      <c r="G90" s="290">
        <f t="shared" si="24"/>
        <v>7200</v>
      </c>
      <c r="H90" s="291"/>
      <c r="I90" s="290">
        <v>7200</v>
      </c>
      <c r="J90" s="291"/>
      <c r="K90" s="291"/>
      <c r="L90" s="292"/>
    </row>
    <row r="91" spans="1:13" ht="12.75">
      <c r="A91" s="1815"/>
      <c r="B91" s="1819"/>
      <c r="C91" s="1822"/>
      <c r="D91" s="289">
        <v>4270</v>
      </c>
      <c r="E91" s="290">
        <f t="shared" si="22"/>
        <v>2250</v>
      </c>
      <c r="F91" s="290">
        <f t="shared" si="23"/>
        <v>2250</v>
      </c>
      <c r="G91" s="290">
        <f t="shared" si="24"/>
        <v>2250</v>
      </c>
      <c r="H91" s="291"/>
      <c r="I91" s="290">
        <v>2250</v>
      </c>
      <c r="J91" s="291"/>
      <c r="K91" s="291"/>
      <c r="L91" s="292"/>
    </row>
    <row r="92" spans="1:13" ht="12.75">
      <c r="A92" s="1815"/>
      <c r="B92" s="1819"/>
      <c r="C92" s="1822"/>
      <c r="D92" s="289">
        <v>4280</v>
      </c>
      <c r="E92" s="290">
        <f t="shared" si="22"/>
        <v>1500</v>
      </c>
      <c r="F92" s="290">
        <f t="shared" si="23"/>
        <v>1500</v>
      </c>
      <c r="G92" s="290">
        <f t="shared" si="24"/>
        <v>1500</v>
      </c>
      <c r="H92" s="291"/>
      <c r="I92" s="290">
        <v>1500</v>
      </c>
      <c r="J92" s="291"/>
      <c r="K92" s="291"/>
      <c r="L92" s="292"/>
    </row>
    <row r="93" spans="1:13" ht="12.75">
      <c r="A93" s="1815"/>
      <c r="B93" s="1819"/>
      <c r="C93" s="1822"/>
      <c r="D93" s="289">
        <v>4300</v>
      </c>
      <c r="E93" s="290">
        <f t="shared" si="22"/>
        <v>24232</v>
      </c>
      <c r="F93" s="290">
        <f t="shared" si="23"/>
        <v>24232</v>
      </c>
      <c r="G93" s="290">
        <f t="shared" si="24"/>
        <v>24232</v>
      </c>
      <c r="H93" s="291"/>
      <c r="I93" s="290">
        <v>24232</v>
      </c>
      <c r="J93" s="291"/>
      <c r="K93" s="291"/>
      <c r="L93" s="292"/>
    </row>
    <row r="94" spans="1:13" ht="12.75">
      <c r="A94" s="1815"/>
      <c r="B94" s="1819"/>
      <c r="C94" s="1822"/>
      <c r="D94" s="289">
        <v>4360</v>
      </c>
      <c r="E94" s="290">
        <f t="shared" si="22"/>
        <v>9150</v>
      </c>
      <c r="F94" s="290">
        <f t="shared" si="23"/>
        <v>9150</v>
      </c>
      <c r="G94" s="290">
        <f t="shared" si="24"/>
        <v>9150</v>
      </c>
      <c r="H94" s="291"/>
      <c r="I94" s="290">
        <v>9150</v>
      </c>
      <c r="J94" s="291"/>
      <c r="K94" s="291"/>
      <c r="L94" s="292"/>
    </row>
    <row r="95" spans="1:13" ht="12.75">
      <c r="A95" s="1815"/>
      <c r="B95" s="1819"/>
      <c r="C95" s="1822"/>
      <c r="D95" s="289">
        <v>4380</v>
      </c>
      <c r="E95" s="290">
        <f t="shared" si="22"/>
        <v>220</v>
      </c>
      <c r="F95" s="290">
        <f t="shared" si="23"/>
        <v>220</v>
      </c>
      <c r="G95" s="290">
        <f t="shared" si="24"/>
        <v>220</v>
      </c>
      <c r="H95" s="291"/>
      <c r="I95" s="290">
        <v>220</v>
      </c>
      <c r="J95" s="291"/>
      <c r="K95" s="291"/>
      <c r="L95" s="292"/>
    </row>
    <row r="96" spans="1:13" ht="12.75">
      <c r="A96" s="1815"/>
      <c r="B96" s="1819"/>
      <c r="C96" s="1822"/>
      <c r="D96" s="289">
        <v>4400</v>
      </c>
      <c r="E96" s="290">
        <f t="shared" si="22"/>
        <v>37500</v>
      </c>
      <c r="F96" s="290">
        <f t="shared" si="23"/>
        <v>37500</v>
      </c>
      <c r="G96" s="290">
        <f t="shared" si="24"/>
        <v>37500</v>
      </c>
      <c r="H96" s="291"/>
      <c r="I96" s="290">
        <v>37500</v>
      </c>
      <c r="J96" s="291"/>
      <c r="K96" s="291"/>
      <c r="L96" s="292"/>
    </row>
    <row r="97" spans="1:13" ht="12.75">
      <c r="A97" s="1815"/>
      <c r="B97" s="1819"/>
      <c r="C97" s="1822"/>
      <c r="D97" s="289">
        <v>4410</v>
      </c>
      <c r="E97" s="290">
        <f t="shared" si="22"/>
        <v>3706</v>
      </c>
      <c r="F97" s="290">
        <f t="shared" si="23"/>
        <v>3706</v>
      </c>
      <c r="G97" s="290">
        <f t="shared" si="24"/>
        <v>3706</v>
      </c>
      <c r="H97" s="291"/>
      <c r="I97" s="290">
        <v>3706</v>
      </c>
      <c r="J97" s="291"/>
      <c r="K97" s="291"/>
      <c r="L97" s="292"/>
    </row>
    <row r="98" spans="1:13" ht="12.75">
      <c r="A98" s="1815"/>
      <c r="B98" s="1819"/>
      <c r="C98" s="1822"/>
      <c r="D98" s="289">
        <v>4440</v>
      </c>
      <c r="E98" s="290">
        <f t="shared" si="22"/>
        <v>18473</v>
      </c>
      <c r="F98" s="290">
        <f t="shared" si="23"/>
        <v>18473</v>
      </c>
      <c r="G98" s="290">
        <f t="shared" si="24"/>
        <v>18473</v>
      </c>
      <c r="H98" s="291"/>
      <c r="I98" s="290">
        <v>18473</v>
      </c>
      <c r="J98" s="291"/>
      <c r="K98" s="291"/>
      <c r="L98" s="292"/>
    </row>
    <row r="99" spans="1:13" ht="12.75">
      <c r="A99" s="1815"/>
      <c r="B99" s="1819"/>
      <c r="C99" s="1822"/>
      <c r="D99" s="289">
        <v>4480</v>
      </c>
      <c r="E99" s="290">
        <f t="shared" si="22"/>
        <v>700</v>
      </c>
      <c r="F99" s="290">
        <f t="shared" si="23"/>
        <v>700</v>
      </c>
      <c r="G99" s="290">
        <f t="shared" si="24"/>
        <v>700</v>
      </c>
      <c r="H99" s="291"/>
      <c r="I99" s="290">
        <v>700</v>
      </c>
      <c r="J99" s="291"/>
      <c r="K99" s="291"/>
      <c r="L99" s="292"/>
    </row>
    <row r="100" spans="1:13" ht="12.75">
      <c r="A100" s="1815"/>
      <c r="B100" s="1819"/>
      <c r="C100" s="1822"/>
      <c r="D100" s="289">
        <v>4520</v>
      </c>
      <c r="E100" s="290">
        <f t="shared" si="22"/>
        <v>250</v>
      </c>
      <c r="F100" s="290">
        <f t="shared" si="23"/>
        <v>250</v>
      </c>
      <c r="G100" s="290">
        <f t="shared" si="24"/>
        <v>250</v>
      </c>
      <c r="H100" s="291"/>
      <c r="I100" s="290">
        <v>250</v>
      </c>
      <c r="J100" s="291"/>
      <c r="K100" s="291"/>
      <c r="L100" s="292"/>
    </row>
    <row r="101" spans="1:13" ht="13.5" thickBot="1">
      <c r="A101" s="1816"/>
      <c r="B101" s="1824"/>
      <c r="C101" s="1825"/>
      <c r="D101" s="1110">
        <v>4700</v>
      </c>
      <c r="E101" s="1111">
        <f t="shared" si="22"/>
        <v>3000</v>
      </c>
      <c r="F101" s="1111">
        <f t="shared" si="23"/>
        <v>3000</v>
      </c>
      <c r="G101" s="1111">
        <f t="shared" si="24"/>
        <v>3000</v>
      </c>
      <c r="H101" s="1115"/>
      <c r="I101" s="1111">
        <v>3000</v>
      </c>
      <c r="J101" s="1115"/>
      <c r="K101" s="1115"/>
      <c r="L101" s="1116"/>
    </row>
    <row r="102" spans="1:13" ht="32.25" customHeight="1">
      <c r="A102" s="1786" t="s">
        <v>620</v>
      </c>
      <c r="B102" s="1826" t="s">
        <v>752</v>
      </c>
      <c r="C102" s="1826"/>
      <c r="D102" s="1113"/>
      <c r="E102" s="1106">
        <f>SUM(F102,L102)</f>
        <v>2000</v>
      </c>
      <c r="F102" s="1106">
        <f t="shared" ref="F102:K102" si="25">SUM(F103)</f>
        <v>2000</v>
      </c>
      <c r="G102" s="1106">
        <f>SUM(H102:I102)</f>
        <v>1750</v>
      </c>
      <c r="H102" s="1106">
        <f>SUM(H103)</f>
        <v>1040</v>
      </c>
      <c r="I102" s="1106">
        <f t="shared" si="25"/>
        <v>710</v>
      </c>
      <c r="J102" s="1106"/>
      <c r="K102" s="1106">
        <f t="shared" si="25"/>
        <v>250</v>
      </c>
      <c r="L102" s="284"/>
    </row>
    <row r="103" spans="1:13" s="302" customFormat="1" ht="30.75" customHeight="1">
      <c r="A103" s="1786"/>
      <c r="B103" s="1818" t="s">
        <v>628</v>
      </c>
      <c r="C103" s="1828" t="s">
        <v>629</v>
      </c>
      <c r="D103" s="304" t="s">
        <v>766</v>
      </c>
      <c r="E103" s="285">
        <f>SUM(F103,L103)</f>
        <v>2000</v>
      </c>
      <c r="F103" s="285">
        <f>SUM(G103,J103,K103)</f>
        <v>2000</v>
      </c>
      <c r="G103" s="285">
        <f>SUM(H103:I103)</f>
        <v>1750</v>
      </c>
      <c r="H103" s="285">
        <f>SUM(H104:H106)</f>
        <v>1040</v>
      </c>
      <c r="I103" s="285">
        <f>SUM(I104:I106)</f>
        <v>710</v>
      </c>
      <c r="J103" s="285"/>
      <c r="K103" s="285">
        <f t="shared" ref="K103" si="26">SUM(K104:K106)</f>
        <v>250</v>
      </c>
      <c r="L103" s="285"/>
    </row>
    <row r="104" spans="1:13" s="302" customFormat="1" ht="12.75">
      <c r="A104" s="1786"/>
      <c r="B104" s="1827"/>
      <c r="C104" s="1829"/>
      <c r="D104" s="303">
        <v>3030</v>
      </c>
      <c r="E104" s="290">
        <f>SUM(F104,L104)</f>
        <v>250</v>
      </c>
      <c r="F104" s="290">
        <f>SUM(G104,J104,K104)</f>
        <v>250</v>
      </c>
      <c r="G104" s="290"/>
      <c r="H104" s="290"/>
      <c r="I104" s="290"/>
      <c r="J104" s="290"/>
      <c r="K104" s="290">
        <v>250</v>
      </c>
      <c r="L104" s="293"/>
    </row>
    <row r="105" spans="1:13" s="302" customFormat="1" ht="12.75">
      <c r="A105" s="1786"/>
      <c r="B105" s="1827"/>
      <c r="C105" s="1829"/>
      <c r="D105" s="303">
        <v>4170</v>
      </c>
      <c r="E105" s="290">
        <f t="shared" ref="E105:E106" si="27">SUM(F105,L105)</f>
        <v>1040</v>
      </c>
      <c r="F105" s="290">
        <f t="shared" ref="F105:F106" si="28">SUM(G105,J105,K105)</f>
        <v>1040</v>
      </c>
      <c r="G105" s="290">
        <f t="shared" ref="G105:G106" si="29">SUM(H105:I105)</f>
        <v>1040</v>
      </c>
      <c r="H105" s="290">
        <v>1040</v>
      </c>
      <c r="I105" s="290"/>
      <c r="J105" s="290"/>
      <c r="K105" s="290"/>
      <c r="L105" s="293"/>
    </row>
    <row r="106" spans="1:13" s="302" customFormat="1" ht="13.5" thickBot="1">
      <c r="A106" s="1786"/>
      <c r="B106" s="1827"/>
      <c r="C106" s="1829"/>
      <c r="D106" s="305">
        <v>4210</v>
      </c>
      <c r="E106" s="306">
        <f t="shared" si="27"/>
        <v>710</v>
      </c>
      <c r="F106" s="306">
        <f t="shared" si="28"/>
        <v>710</v>
      </c>
      <c r="G106" s="306">
        <f t="shared" si="29"/>
        <v>710</v>
      </c>
      <c r="H106" s="306"/>
      <c r="I106" s="306">
        <v>710</v>
      </c>
      <c r="J106" s="306"/>
      <c r="K106" s="306"/>
      <c r="L106" s="307"/>
      <c r="M106" s="301"/>
    </row>
    <row r="107" spans="1:13" ht="35.1" customHeight="1" thickBot="1">
      <c r="A107" s="1830" t="s">
        <v>69</v>
      </c>
      <c r="B107" s="1831"/>
      <c r="C107" s="1831"/>
      <c r="D107" s="308"/>
      <c r="E107" s="309">
        <f t="shared" ref="E107:L107" si="30">SUM(E102,E59,E52,E50,E39,E29,E26,E6)</f>
        <v>70902000</v>
      </c>
      <c r="F107" s="309">
        <f t="shared" si="30"/>
        <v>67902000</v>
      </c>
      <c r="G107" s="309">
        <f t="shared" si="30"/>
        <v>9158970</v>
      </c>
      <c r="H107" s="309">
        <f t="shared" si="30"/>
        <v>4556827</v>
      </c>
      <c r="I107" s="309">
        <f t="shared" si="30"/>
        <v>4602143</v>
      </c>
      <c r="J107" s="309">
        <f t="shared" si="30"/>
        <v>58720000</v>
      </c>
      <c r="K107" s="309">
        <f t="shared" si="30"/>
        <v>23030</v>
      </c>
      <c r="L107" s="275">
        <f t="shared" si="30"/>
        <v>3000000</v>
      </c>
    </row>
    <row r="108" spans="1:13" ht="12.75">
      <c r="A108" s="310"/>
      <c r="B108" s="311"/>
      <c r="E108" s="256"/>
      <c r="F108" s="256"/>
      <c r="G108" s="256"/>
      <c r="H108" s="256"/>
      <c r="I108" s="256"/>
      <c r="J108" s="256"/>
      <c r="K108" s="256"/>
      <c r="L108" s="256"/>
    </row>
    <row r="109" spans="1:13" ht="12.75">
      <c r="A109" s="310"/>
      <c r="B109" s="311"/>
      <c r="E109" s="256"/>
      <c r="F109" s="256"/>
      <c r="G109" s="256"/>
      <c r="H109" s="256"/>
      <c r="I109" s="256"/>
      <c r="J109" s="256"/>
      <c r="K109" s="256"/>
      <c r="L109" s="256"/>
    </row>
    <row r="110" spans="1:13" ht="12.75">
      <c r="A110" s="310"/>
      <c r="B110" s="311"/>
      <c r="E110" s="256"/>
      <c r="F110" s="256"/>
      <c r="G110" s="256"/>
      <c r="H110" s="256"/>
      <c r="I110" s="256"/>
      <c r="J110" s="256"/>
      <c r="K110" s="256"/>
      <c r="L110" s="256"/>
    </row>
    <row r="111" spans="1:13" ht="12.75">
      <c r="A111" s="310"/>
      <c r="B111" s="311"/>
      <c r="E111" s="256"/>
      <c r="F111" s="256"/>
      <c r="G111" s="256"/>
      <c r="H111" s="256"/>
      <c r="I111" s="256"/>
      <c r="J111" s="256"/>
      <c r="K111" s="256"/>
      <c r="L111" s="256"/>
    </row>
    <row r="112" spans="1:13" ht="12.75">
      <c r="A112" s="310"/>
      <c r="B112" s="311"/>
      <c r="E112" s="256"/>
      <c r="F112" s="256"/>
      <c r="G112" s="256"/>
      <c r="H112" s="256"/>
      <c r="I112" s="256"/>
      <c r="J112" s="256"/>
      <c r="K112" s="256"/>
      <c r="L112" s="256"/>
    </row>
    <row r="113" spans="1:12" ht="12.75">
      <c r="A113" s="1812"/>
      <c r="B113" s="1813"/>
      <c r="C113" s="1813"/>
      <c r="D113" s="1813"/>
      <c r="E113" s="1813"/>
      <c r="F113" s="1813"/>
      <c r="G113" s="1813"/>
      <c r="H113" s="1813"/>
      <c r="I113" s="1813"/>
      <c r="J113" s="1813"/>
      <c r="K113" s="1813"/>
      <c r="L113" s="1813"/>
    </row>
    <row r="114" spans="1:12" ht="12.75">
      <c r="A114" s="310"/>
      <c r="B114" s="311"/>
      <c r="F114" s="256"/>
      <c r="G114" s="256"/>
      <c r="H114" s="256"/>
      <c r="I114" s="256"/>
      <c r="J114" s="256"/>
      <c r="K114" s="256"/>
      <c r="L114" s="256"/>
    </row>
    <row r="115" spans="1:12" ht="12.75">
      <c r="A115" s="310"/>
      <c r="B115" s="311"/>
      <c r="E115" s="256"/>
      <c r="F115" s="256"/>
      <c r="G115" s="256"/>
      <c r="H115" s="256"/>
      <c r="I115" s="256"/>
      <c r="J115" s="256"/>
      <c r="K115" s="256"/>
      <c r="L115" s="256"/>
    </row>
    <row r="116" spans="1:12" ht="12.75">
      <c r="A116" s="310"/>
      <c r="B116" s="311"/>
      <c r="F116" s="256"/>
      <c r="G116" s="256"/>
      <c r="H116" s="256"/>
      <c r="I116" s="256"/>
      <c r="J116" s="256"/>
      <c r="K116" s="256"/>
      <c r="L116" s="256"/>
    </row>
    <row r="117" spans="1:12" ht="12.75">
      <c r="A117" s="310"/>
      <c r="B117" s="311"/>
      <c r="F117" s="256"/>
      <c r="G117" s="256"/>
      <c r="H117" s="256"/>
      <c r="I117" s="256"/>
      <c r="J117" s="256"/>
      <c r="K117" s="256"/>
      <c r="L117" s="256"/>
    </row>
    <row r="118" spans="1:12" ht="12.75">
      <c r="A118" s="310"/>
      <c r="B118" s="311"/>
      <c r="F118" s="256"/>
      <c r="G118" s="256"/>
      <c r="H118" s="256"/>
      <c r="I118" s="256"/>
      <c r="J118" s="256"/>
      <c r="K118" s="256"/>
      <c r="L118" s="256"/>
    </row>
    <row r="119" spans="1:12" ht="12.75">
      <c r="A119" s="310"/>
      <c r="B119" s="311"/>
      <c r="F119" s="256"/>
      <c r="G119" s="256"/>
      <c r="H119" s="256"/>
      <c r="I119" s="256"/>
      <c r="J119" s="256"/>
      <c r="K119" s="256"/>
      <c r="L119" s="256"/>
    </row>
    <row r="120" spans="1:12" ht="12.75">
      <c r="A120" s="310"/>
      <c r="B120" s="311"/>
      <c r="F120" s="256"/>
      <c r="G120" s="256"/>
      <c r="H120" s="256"/>
      <c r="I120" s="256"/>
      <c r="J120" s="256"/>
      <c r="K120" s="256"/>
      <c r="L120" s="256"/>
    </row>
    <row r="121" spans="1:12" ht="12.75">
      <c r="A121" s="312"/>
      <c r="B121" s="311"/>
      <c r="F121" s="256"/>
      <c r="G121" s="256"/>
      <c r="H121" s="256"/>
      <c r="I121" s="256"/>
      <c r="J121" s="256"/>
      <c r="K121" s="256"/>
      <c r="L121" s="256"/>
    </row>
    <row r="122" spans="1:12" ht="12.75">
      <c r="A122" s="312"/>
      <c r="B122" s="311"/>
      <c r="F122" s="256"/>
      <c r="G122" s="256"/>
      <c r="H122" s="256"/>
      <c r="I122" s="256"/>
      <c r="J122" s="256"/>
      <c r="K122" s="256"/>
      <c r="L122" s="256"/>
    </row>
    <row r="123" spans="1:12" ht="12.75">
      <c r="A123" s="312"/>
      <c r="B123" s="311"/>
      <c r="F123" s="256"/>
      <c r="G123" s="256"/>
      <c r="H123" s="256"/>
      <c r="I123" s="256"/>
      <c r="J123" s="256"/>
      <c r="K123" s="256"/>
      <c r="L123" s="256"/>
    </row>
    <row r="124" spans="1:12" ht="12.75">
      <c r="A124" s="312"/>
      <c r="B124" s="311"/>
      <c r="F124" s="256"/>
      <c r="G124" s="256"/>
      <c r="H124" s="256"/>
      <c r="I124" s="256"/>
      <c r="J124" s="256"/>
      <c r="K124" s="256"/>
      <c r="L124" s="256"/>
    </row>
    <row r="125" spans="1:12" ht="12.75">
      <c r="A125" s="312"/>
      <c r="B125" s="311"/>
      <c r="F125" s="256"/>
      <c r="G125" s="256"/>
      <c r="H125" s="256"/>
      <c r="I125" s="256"/>
      <c r="J125" s="256"/>
      <c r="K125" s="256"/>
      <c r="L125" s="256"/>
    </row>
    <row r="126" spans="1:12" ht="12.75">
      <c r="A126" s="312"/>
      <c r="B126" s="311"/>
      <c r="F126" s="256"/>
      <c r="G126" s="256"/>
      <c r="H126" s="256"/>
      <c r="I126" s="256"/>
      <c r="J126" s="256"/>
      <c r="K126" s="256"/>
      <c r="L126" s="256"/>
    </row>
    <row r="127" spans="1:12" ht="12.75">
      <c r="A127" s="312"/>
      <c r="B127" s="311"/>
      <c r="F127" s="256"/>
      <c r="G127" s="256"/>
      <c r="H127" s="256"/>
      <c r="I127" s="256"/>
      <c r="J127" s="256"/>
      <c r="K127" s="256"/>
      <c r="L127" s="256"/>
    </row>
    <row r="128" spans="1:12" ht="12.75">
      <c r="A128" s="312"/>
      <c r="B128" s="311"/>
      <c r="F128" s="256"/>
      <c r="G128" s="256"/>
      <c r="H128" s="256"/>
      <c r="I128" s="256"/>
      <c r="J128" s="256"/>
      <c r="K128" s="256"/>
      <c r="L128" s="256"/>
    </row>
    <row r="129" spans="1:13" ht="12.75">
      <c r="A129" s="312"/>
      <c r="B129" s="311"/>
      <c r="F129" s="256"/>
      <c r="G129" s="256"/>
      <c r="H129" s="256"/>
      <c r="I129" s="256"/>
      <c r="J129" s="256"/>
      <c r="K129" s="256"/>
      <c r="L129" s="256"/>
    </row>
    <row r="130" spans="1:13" ht="12.75">
      <c r="A130" s="312"/>
      <c r="B130" s="311"/>
      <c r="F130" s="256"/>
      <c r="G130" s="256"/>
      <c r="H130" s="256"/>
      <c r="I130" s="256"/>
      <c r="J130" s="256"/>
      <c r="K130" s="256"/>
      <c r="L130" s="256"/>
    </row>
    <row r="131" spans="1:13" ht="12.75">
      <c r="A131" s="312"/>
      <c r="B131" s="311"/>
      <c r="F131" s="256"/>
      <c r="G131" s="256"/>
      <c r="H131" s="256"/>
      <c r="I131" s="256"/>
      <c r="J131" s="256"/>
      <c r="K131" s="256"/>
      <c r="L131" s="256"/>
    </row>
    <row r="132" spans="1:13" ht="12.75">
      <c r="A132" s="312"/>
      <c r="B132" s="311"/>
      <c r="F132" s="256"/>
      <c r="G132" s="256"/>
      <c r="H132" s="256"/>
      <c r="I132" s="256"/>
      <c r="J132" s="256"/>
      <c r="K132" s="256"/>
      <c r="L132" s="256"/>
    </row>
    <row r="133" spans="1:13" ht="12.75">
      <c r="A133" s="312"/>
      <c r="B133" s="311"/>
      <c r="F133" s="256"/>
      <c r="G133" s="256"/>
      <c r="H133" s="256"/>
      <c r="I133" s="256"/>
      <c r="J133" s="256"/>
      <c r="K133" s="256"/>
      <c r="L133" s="256"/>
    </row>
    <row r="134" spans="1:13" ht="12.75">
      <c r="A134" s="312"/>
      <c r="B134" s="311"/>
      <c r="F134" s="256"/>
      <c r="G134" s="256"/>
      <c r="H134" s="256"/>
      <c r="I134" s="256"/>
      <c r="J134" s="256"/>
      <c r="K134" s="256"/>
      <c r="L134" s="256"/>
    </row>
    <row r="135" spans="1:13" ht="12.75">
      <c r="A135" s="312"/>
      <c r="B135" s="311"/>
      <c r="F135" s="256"/>
      <c r="G135" s="256"/>
      <c r="H135" s="256"/>
      <c r="I135" s="256"/>
      <c r="J135" s="256"/>
      <c r="K135" s="256"/>
      <c r="L135" s="256"/>
    </row>
    <row r="136" spans="1:13" ht="12.75">
      <c r="A136" s="312"/>
      <c r="B136" s="311"/>
      <c r="F136" s="256"/>
      <c r="G136" s="256"/>
      <c r="H136" s="256"/>
      <c r="I136" s="256"/>
      <c r="J136" s="256"/>
      <c r="K136" s="256"/>
      <c r="L136" s="256"/>
    </row>
    <row r="137" spans="1:13" ht="12.75">
      <c r="A137" s="312"/>
    </row>
    <row r="138" spans="1:13" ht="12.75">
      <c r="A138" s="312"/>
    </row>
    <row r="139" spans="1:13" ht="12.75">
      <c r="A139" s="312"/>
    </row>
    <row r="140" spans="1:13" ht="12.75">
      <c r="A140" s="312"/>
    </row>
    <row r="141" spans="1:13" ht="12.75">
      <c r="A141" s="312"/>
    </row>
    <row r="142" spans="1:13" s="313" customFormat="1" ht="12.75">
      <c r="A142" s="312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s="313" customFormat="1" ht="12.75">
      <c r="A143" s="312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s="313" customFormat="1" ht="12.75">
      <c r="A144" s="312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s="313" customFormat="1" ht="12.75">
      <c r="A145" s="312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s="313" customFormat="1" ht="12.75">
      <c r="A146" s="312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s="313" customFormat="1" ht="12.75">
      <c r="A147" s="312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s="313" customFormat="1" ht="12.75">
      <c r="A148" s="312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s="313" customFormat="1" ht="12.75">
      <c r="A149" s="312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s="313" customFormat="1" ht="12.75">
      <c r="A150" s="312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s="313" customFormat="1" ht="12.75">
      <c r="A151" s="312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s="313" customFormat="1" ht="12.75">
      <c r="A152" s="312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s="313" customFormat="1" ht="12.75">
      <c r="A153" s="312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s="313" customFormat="1" ht="12.75">
      <c r="A154" s="312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s="313" customFormat="1" ht="12.75">
      <c r="A155" s="312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s="313" customFormat="1" ht="12.75">
      <c r="A156" s="312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s="313" customFormat="1" ht="12.75">
      <c r="A157" s="312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s="313" customFormat="1" ht="12.75">
      <c r="A158" s="312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s="313" customFormat="1" ht="12.75">
      <c r="A159" s="312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s="313" customFormat="1" ht="12.75">
      <c r="A160" s="312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s="313" customFormat="1" ht="12.75">
      <c r="A161" s="312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s="313" customFormat="1" ht="12.75">
      <c r="A162" s="312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s="313" customFormat="1" ht="12.75">
      <c r="A163" s="312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s="313" customFormat="1" ht="12.75">
      <c r="A164" s="312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s="313" customFormat="1" ht="12.75">
      <c r="A165" s="312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s="313" customFormat="1" ht="12.75">
      <c r="A166" s="312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s="313" customFormat="1" ht="12.75">
      <c r="A167" s="312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s="313" customFormat="1" ht="12.75">
      <c r="A168" s="312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s="313" customFormat="1" ht="12.75">
      <c r="A169" s="312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s="313" customFormat="1" ht="12.75">
      <c r="A170" s="312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s="313" customFormat="1" ht="12.75">
      <c r="A171" s="312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s="313" customFormat="1" ht="12.75">
      <c r="A172" s="312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s="313" customFormat="1" ht="12.75">
      <c r="A173" s="312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s="313" customFormat="1" ht="12.75">
      <c r="A174" s="312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s="313" customFormat="1" ht="12.75">
      <c r="A175" s="312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s="313" customFormat="1" ht="12.75">
      <c r="A176" s="312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s="313" customFormat="1" ht="12.75">
      <c r="A177" s="312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s="313" customFormat="1" ht="12.75">
      <c r="A178" s="312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s="313" customFormat="1" ht="12.75">
      <c r="A179" s="312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245" spans="5:5">
      <c r="E245" s="314">
        <f>115000000+12000000</f>
        <v>127000000</v>
      </c>
    </row>
    <row r="353" spans="5:5">
      <c r="E353" s="314"/>
    </row>
  </sheetData>
  <mergeCells count="50">
    <mergeCell ref="A1:L1"/>
    <mergeCell ref="A2:L2"/>
    <mergeCell ref="A3:A5"/>
    <mergeCell ref="B3:B5"/>
    <mergeCell ref="C3:C5"/>
    <mergeCell ref="D3:D5"/>
    <mergeCell ref="E3:E5"/>
    <mergeCell ref="F3:F5"/>
    <mergeCell ref="G3:K3"/>
    <mergeCell ref="L3:L5"/>
    <mergeCell ref="G4:G5"/>
    <mergeCell ref="H4:I4"/>
    <mergeCell ref="J4:J5"/>
    <mergeCell ref="K4:K5"/>
    <mergeCell ref="A6:A25"/>
    <mergeCell ref="B6:C6"/>
    <mergeCell ref="B7:B24"/>
    <mergeCell ref="C7:C24"/>
    <mergeCell ref="A26:A28"/>
    <mergeCell ref="B26:C26"/>
    <mergeCell ref="A29:A38"/>
    <mergeCell ref="B29:C29"/>
    <mergeCell ref="B31:B35"/>
    <mergeCell ref="C31:C35"/>
    <mergeCell ref="B36:B38"/>
    <mergeCell ref="C36:C38"/>
    <mergeCell ref="A39:A49"/>
    <mergeCell ref="B39:C39"/>
    <mergeCell ref="B40:B43"/>
    <mergeCell ref="C40:C43"/>
    <mergeCell ref="B44:B49"/>
    <mergeCell ref="C44:C49"/>
    <mergeCell ref="A50:A51"/>
    <mergeCell ref="B50:C50"/>
    <mergeCell ref="A52:A58"/>
    <mergeCell ref="B52:C52"/>
    <mergeCell ref="B54:B58"/>
    <mergeCell ref="C54:C58"/>
    <mergeCell ref="A113:L113"/>
    <mergeCell ref="A59:A101"/>
    <mergeCell ref="B59:C59"/>
    <mergeCell ref="B60:B81"/>
    <mergeCell ref="C60:C81"/>
    <mergeCell ref="B82:B101"/>
    <mergeCell ref="C82:C101"/>
    <mergeCell ref="A102:A106"/>
    <mergeCell ref="B102:C102"/>
    <mergeCell ref="B103:B106"/>
    <mergeCell ref="C103:C106"/>
    <mergeCell ref="A107:C10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r:id="rId1"/>
  <headerFooter>
    <oddFooter>Strona &amp;P z &amp;N</oddFooter>
  </headerFooter>
  <rowBreaks count="1" manualBreakCount="1">
    <brk id="58" max="11" man="1"/>
  </rowBreaks>
  <colBreaks count="1" manualBreakCount="1">
    <brk id="12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D11"/>
  <sheetViews>
    <sheetView view="pageBreakPreview" zoomScaleNormal="100" zoomScaleSheetLayoutView="100" workbookViewId="0">
      <selection activeCell="J105" sqref="J105"/>
    </sheetView>
  </sheetViews>
  <sheetFormatPr defaultRowHeight="15"/>
  <cols>
    <col min="2" max="2" width="11.7109375" customWidth="1"/>
    <col min="3" max="3" width="19.42578125" customWidth="1"/>
    <col min="4" max="4" width="95.140625" customWidth="1"/>
  </cols>
  <sheetData>
    <row r="2" spans="1:4">
      <c r="A2" s="1855" t="s">
        <v>768</v>
      </c>
      <c r="B2" s="1855"/>
      <c r="C2" s="1855"/>
      <c r="D2" s="1855"/>
    </row>
    <row r="3" spans="1:4" ht="26.25" customHeight="1">
      <c r="A3" s="1855"/>
      <c r="B3" s="1855"/>
      <c r="C3" s="1855"/>
      <c r="D3" s="1855"/>
    </row>
    <row r="4" spans="1:4" ht="18.75" thickBot="1">
      <c r="A4" s="316"/>
      <c r="B4" s="316"/>
      <c r="C4" s="316"/>
      <c r="D4" s="317" t="s">
        <v>769</v>
      </c>
    </row>
    <row r="5" spans="1:4">
      <c r="A5" s="1856" t="s">
        <v>0</v>
      </c>
      <c r="B5" s="1858" t="s">
        <v>1</v>
      </c>
      <c r="C5" s="1860" t="s">
        <v>770</v>
      </c>
      <c r="D5" s="1862" t="s">
        <v>771</v>
      </c>
    </row>
    <row r="6" spans="1:4" ht="15.75" thickBot="1">
      <c r="A6" s="1857"/>
      <c r="B6" s="1859"/>
      <c r="C6" s="1861"/>
      <c r="D6" s="1863"/>
    </row>
    <row r="7" spans="1:4" ht="60" customHeight="1">
      <c r="A7" s="318" t="s">
        <v>142</v>
      </c>
      <c r="B7" s="319" t="s">
        <v>254</v>
      </c>
      <c r="C7" s="320">
        <v>50000</v>
      </c>
      <c r="D7" s="321" t="s">
        <v>772</v>
      </c>
    </row>
    <row r="8" spans="1:4" ht="20.25" customHeight="1">
      <c r="A8" s="1864">
        <v>710</v>
      </c>
      <c r="B8" s="1866">
        <v>71012</v>
      </c>
      <c r="C8" s="320">
        <v>444006</v>
      </c>
      <c r="D8" s="322" t="s">
        <v>773</v>
      </c>
    </row>
    <row r="9" spans="1:4" ht="28.5">
      <c r="A9" s="1865"/>
      <c r="B9" s="1867"/>
      <c r="C9" s="320">
        <v>800000</v>
      </c>
      <c r="D9" s="322" t="s">
        <v>774</v>
      </c>
    </row>
    <row r="10" spans="1:4" ht="35.25" customHeight="1" thickBot="1">
      <c r="A10" s="323">
        <v>750</v>
      </c>
      <c r="B10" s="324">
        <v>75011</v>
      </c>
      <c r="C10" s="320">
        <v>1508651</v>
      </c>
      <c r="D10" s="325" t="s">
        <v>775</v>
      </c>
    </row>
    <row r="11" spans="1:4" ht="31.5" customHeight="1" thickBot="1">
      <c r="A11" s="1853" t="s">
        <v>776</v>
      </c>
      <c r="B11" s="1854"/>
      <c r="C11" s="326">
        <f>SUM(C7:C10)</f>
        <v>2802657</v>
      </c>
      <c r="D11" s="327"/>
    </row>
  </sheetData>
  <mergeCells count="8">
    <mergeCell ref="A11:B11"/>
    <mergeCell ref="A2:D3"/>
    <mergeCell ref="A5:A6"/>
    <mergeCell ref="B5:B6"/>
    <mergeCell ref="C5:C6"/>
    <mergeCell ref="D5:D6"/>
    <mergeCell ref="A8:A9"/>
    <mergeCell ref="B8:B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Strona &amp;P z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290"/>
  <sheetViews>
    <sheetView view="pageBreakPreview" zoomScaleNormal="75" zoomScaleSheetLayoutView="100" workbookViewId="0">
      <selection activeCell="I2" sqref="I2"/>
    </sheetView>
  </sheetViews>
  <sheetFormatPr defaultRowHeight="15.75"/>
  <cols>
    <col min="1" max="1" width="8.140625" style="315" customWidth="1"/>
    <col min="2" max="2" width="10.42578125" style="315" customWidth="1"/>
    <col min="3" max="3" width="9.42578125" style="313" customWidth="1"/>
    <col min="4" max="4" width="36.5703125" style="9" customWidth="1"/>
    <col min="5" max="5" width="12.140625" style="9" bestFit="1" customWidth="1"/>
    <col min="6" max="6" width="15.7109375" style="9" customWidth="1"/>
    <col min="7" max="7" width="16.5703125" style="9" customWidth="1"/>
    <col min="8" max="16384" width="9.140625" style="9"/>
  </cols>
  <sheetData>
    <row r="1" spans="1:7" ht="57" customHeight="1">
      <c r="A1" s="115"/>
      <c r="B1" s="115"/>
      <c r="C1" s="328"/>
      <c r="D1" s="329"/>
      <c r="E1" s="1884" t="s">
        <v>1098</v>
      </c>
      <c r="F1" s="1884"/>
      <c r="G1" s="1884"/>
    </row>
    <row r="2" spans="1:7" ht="84.75" customHeight="1" thickBot="1">
      <c r="A2" s="1647" t="s">
        <v>777</v>
      </c>
      <c r="B2" s="1647"/>
      <c r="C2" s="1647"/>
      <c r="D2" s="1647"/>
      <c r="E2" s="1647"/>
      <c r="F2" s="1647"/>
      <c r="G2" s="1647"/>
    </row>
    <row r="3" spans="1:7" ht="35.25" customHeight="1">
      <c r="A3" s="1885" t="s">
        <v>0</v>
      </c>
      <c r="B3" s="1887" t="s">
        <v>1</v>
      </c>
      <c r="C3" s="1887" t="s">
        <v>5</v>
      </c>
      <c r="D3" s="1889" t="s">
        <v>74</v>
      </c>
      <c r="E3" s="1891" t="s">
        <v>778</v>
      </c>
      <c r="F3" s="1892" t="s">
        <v>779</v>
      </c>
      <c r="G3" s="1893"/>
    </row>
    <row r="4" spans="1:7" ht="28.5" customHeight="1" thickBot="1">
      <c r="A4" s="1886"/>
      <c r="B4" s="1888"/>
      <c r="C4" s="1888"/>
      <c r="D4" s="1890"/>
      <c r="E4" s="1888"/>
      <c r="F4" s="330" t="s">
        <v>780</v>
      </c>
      <c r="G4" s="331" t="s">
        <v>781</v>
      </c>
    </row>
    <row r="5" spans="1:7" ht="31.5" customHeight="1" thickBot="1">
      <c r="A5" s="1869" t="s">
        <v>142</v>
      </c>
      <c r="B5" s="1872" t="s">
        <v>743</v>
      </c>
      <c r="C5" s="1873"/>
      <c r="D5" s="1874"/>
      <c r="E5" s="332">
        <f>SUM(E6)</f>
        <v>96842</v>
      </c>
      <c r="F5" s="333">
        <f>SUM(F6)</f>
        <v>92000</v>
      </c>
      <c r="G5" s="334">
        <f>SUM(G6)</f>
        <v>4842</v>
      </c>
    </row>
    <row r="6" spans="1:7" ht="29.25" customHeight="1">
      <c r="A6" s="1870"/>
      <c r="B6" s="1875" t="s">
        <v>197</v>
      </c>
      <c r="C6" s="1878" t="s">
        <v>198</v>
      </c>
      <c r="D6" s="1879"/>
      <c r="E6" s="335">
        <f>SUM(E7:E8)</f>
        <v>96842</v>
      </c>
      <c r="F6" s="336">
        <f>SUM(F7:F8)</f>
        <v>92000</v>
      </c>
      <c r="G6" s="337">
        <f>SUM(G7:G8)</f>
        <v>4842</v>
      </c>
    </row>
    <row r="7" spans="1:7" ht="27.75" customHeight="1">
      <c r="A7" s="1870"/>
      <c r="B7" s="1876"/>
      <c r="C7" s="338">
        <v>2350</v>
      </c>
      <c r="D7" s="339"/>
      <c r="E7" s="340">
        <f>F7+G7</f>
        <v>92000</v>
      </c>
      <c r="F7" s="341">
        <v>92000</v>
      </c>
      <c r="G7" s="342"/>
    </row>
    <row r="8" spans="1:7" ht="27.75" customHeight="1" thickBot="1">
      <c r="A8" s="1871"/>
      <c r="B8" s="1877"/>
      <c r="C8" s="343">
        <v>2360</v>
      </c>
      <c r="D8" s="344"/>
      <c r="E8" s="340">
        <f>F8+G8</f>
        <v>4842</v>
      </c>
      <c r="F8" s="345"/>
      <c r="G8" s="346">
        <v>4842</v>
      </c>
    </row>
    <row r="9" spans="1:7" ht="31.5" customHeight="1" thickBot="1">
      <c r="A9" s="1869" t="s">
        <v>744</v>
      </c>
      <c r="B9" s="1872" t="s">
        <v>745</v>
      </c>
      <c r="C9" s="1873"/>
      <c r="D9" s="1874"/>
      <c r="E9" s="332">
        <f>SUM(E10)</f>
        <v>27368</v>
      </c>
      <c r="F9" s="333">
        <f>SUM(F10)</f>
        <v>26000</v>
      </c>
      <c r="G9" s="334">
        <f>SUM(G10)</f>
        <v>1368</v>
      </c>
    </row>
    <row r="10" spans="1:7" ht="29.25" customHeight="1">
      <c r="A10" s="1870"/>
      <c r="B10" s="1875" t="s">
        <v>746</v>
      </c>
      <c r="C10" s="1878" t="s">
        <v>129</v>
      </c>
      <c r="D10" s="1879"/>
      <c r="E10" s="335">
        <f>SUM(E11:E12)</f>
        <v>27368</v>
      </c>
      <c r="F10" s="336">
        <f>SUM(F11:F12)</f>
        <v>26000</v>
      </c>
      <c r="G10" s="337">
        <f>SUM(G11:G12)</f>
        <v>1368</v>
      </c>
    </row>
    <row r="11" spans="1:7" ht="27.75" customHeight="1">
      <c r="A11" s="1870"/>
      <c r="B11" s="1876"/>
      <c r="C11" s="347">
        <v>2350</v>
      </c>
      <c r="D11" s="339"/>
      <c r="E11" s="340">
        <f>F11+G11</f>
        <v>26000</v>
      </c>
      <c r="F11" s="341">
        <v>26000</v>
      </c>
      <c r="G11" s="342"/>
    </row>
    <row r="12" spans="1:7" ht="27.75" customHeight="1" thickBot="1">
      <c r="A12" s="1871"/>
      <c r="B12" s="1877"/>
      <c r="C12" s="348">
        <v>2360</v>
      </c>
      <c r="D12" s="344"/>
      <c r="E12" s="340">
        <f>F12+G12</f>
        <v>1368</v>
      </c>
      <c r="F12" s="345"/>
      <c r="G12" s="346">
        <v>1368</v>
      </c>
    </row>
    <row r="13" spans="1:7" ht="31.5" customHeight="1" thickBot="1">
      <c r="A13" s="1869" t="s">
        <v>7</v>
      </c>
      <c r="B13" s="1872" t="s">
        <v>747</v>
      </c>
      <c r="C13" s="1873"/>
      <c r="D13" s="1874"/>
      <c r="E13" s="332">
        <f>SUM(E14)</f>
        <v>65263</v>
      </c>
      <c r="F13" s="333">
        <f>SUM(F14)</f>
        <v>62000</v>
      </c>
      <c r="G13" s="334">
        <f>SUM(G14)</f>
        <v>3263</v>
      </c>
    </row>
    <row r="14" spans="1:7" ht="29.25" customHeight="1">
      <c r="A14" s="1870"/>
      <c r="B14" s="1875" t="s">
        <v>327</v>
      </c>
      <c r="C14" s="1878" t="s">
        <v>129</v>
      </c>
      <c r="D14" s="1879"/>
      <c r="E14" s="335">
        <f>SUM(E15:E16)</f>
        <v>65263</v>
      </c>
      <c r="F14" s="336">
        <f>SUM(F15:F16)</f>
        <v>62000</v>
      </c>
      <c r="G14" s="337">
        <f>SUM(G15:G16)</f>
        <v>3263</v>
      </c>
    </row>
    <row r="15" spans="1:7" ht="27.75" customHeight="1">
      <c r="A15" s="1870"/>
      <c r="B15" s="1876"/>
      <c r="C15" s="347">
        <v>2350</v>
      </c>
      <c r="D15" s="339"/>
      <c r="E15" s="340">
        <f>F15+G15</f>
        <v>62000</v>
      </c>
      <c r="F15" s="341">
        <v>62000</v>
      </c>
      <c r="G15" s="342"/>
    </row>
    <row r="16" spans="1:7" ht="27.75" customHeight="1" thickBot="1">
      <c r="A16" s="1871"/>
      <c r="B16" s="1877"/>
      <c r="C16" s="348">
        <v>2360</v>
      </c>
      <c r="D16" s="344"/>
      <c r="E16" s="340">
        <f>F16+G16</f>
        <v>3263</v>
      </c>
      <c r="F16" s="345"/>
      <c r="G16" s="346">
        <v>3263</v>
      </c>
    </row>
    <row r="17" spans="1:7" ht="33.75" customHeight="1" thickBot="1">
      <c r="A17" s="1869" t="s">
        <v>349</v>
      </c>
      <c r="B17" s="1872" t="s">
        <v>782</v>
      </c>
      <c r="C17" s="1873"/>
      <c r="D17" s="1874"/>
      <c r="E17" s="332">
        <f t="shared" ref="E17:G17" si="0">SUM(E18)</f>
        <v>9474</v>
      </c>
      <c r="F17" s="333">
        <f t="shared" si="0"/>
        <v>9000</v>
      </c>
      <c r="G17" s="334">
        <f t="shared" si="0"/>
        <v>474</v>
      </c>
    </row>
    <row r="18" spans="1:7" ht="27.75" customHeight="1">
      <c r="A18" s="1870"/>
      <c r="B18" s="1875" t="s">
        <v>355</v>
      </c>
      <c r="C18" s="1878" t="s">
        <v>356</v>
      </c>
      <c r="D18" s="1879"/>
      <c r="E18" s="335">
        <f>SUM(E19:E20)</f>
        <v>9474</v>
      </c>
      <c r="F18" s="336">
        <f>SUM(F19:F20)</f>
        <v>9000</v>
      </c>
      <c r="G18" s="337">
        <f>SUM(G19:G20)</f>
        <v>474</v>
      </c>
    </row>
    <row r="19" spans="1:7" ht="29.25" customHeight="1">
      <c r="A19" s="1870"/>
      <c r="B19" s="1876"/>
      <c r="C19" s="347">
        <v>2350</v>
      </c>
      <c r="D19" s="339"/>
      <c r="E19" s="340">
        <f>F19+G19</f>
        <v>9000</v>
      </c>
      <c r="F19" s="341">
        <v>9000</v>
      </c>
      <c r="G19" s="342"/>
    </row>
    <row r="20" spans="1:7" ht="29.25" customHeight="1" thickBot="1">
      <c r="A20" s="1871"/>
      <c r="B20" s="1877"/>
      <c r="C20" s="343">
        <v>2360</v>
      </c>
      <c r="D20" s="349"/>
      <c r="E20" s="340">
        <f>F20+G20</f>
        <v>474</v>
      </c>
      <c r="F20" s="345"/>
      <c r="G20" s="346">
        <v>474</v>
      </c>
    </row>
    <row r="21" spans="1:7" ht="33.75" customHeight="1" thickBot="1">
      <c r="A21" s="1869" t="s">
        <v>4</v>
      </c>
      <c r="B21" s="1872" t="s">
        <v>21</v>
      </c>
      <c r="C21" s="1873"/>
      <c r="D21" s="1874"/>
      <c r="E21" s="332">
        <f t="shared" ref="E21:G21" si="1">SUM(E22)</f>
        <v>21053</v>
      </c>
      <c r="F21" s="333">
        <f t="shared" si="1"/>
        <v>20000</v>
      </c>
      <c r="G21" s="334">
        <f t="shared" si="1"/>
        <v>1053</v>
      </c>
    </row>
    <row r="22" spans="1:7" ht="27" customHeight="1">
      <c r="A22" s="1870"/>
      <c r="B22" s="1875" t="s">
        <v>424</v>
      </c>
      <c r="C22" s="1878" t="s">
        <v>425</v>
      </c>
      <c r="D22" s="1879"/>
      <c r="E22" s="335">
        <f>SUM(E23:E24)</f>
        <v>21053</v>
      </c>
      <c r="F22" s="336">
        <f>SUM(F23:F24)</f>
        <v>20000</v>
      </c>
      <c r="G22" s="337">
        <f>SUM(G23:G24)</f>
        <v>1053</v>
      </c>
    </row>
    <row r="23" spans="1:7" ht="29.25" customHeight="1">
      <c r="A23" s="1870"/>
      <c r="B23" s="1876"/>
      <c r="C23" s="347">
        <v>2350</v>
      </c>
      <c r="D23" s="339"/>
      <c r="E23" s="340">
        <f>F23+G23</f>
        <v>20000</v>
      </c>
      <c r="F23" s="341">
        <v>20000</v>
      </c>
      <c r="G23" s="342"/>
    </row>
    <row r="24" spans="1:7" ht="29.25" customHeight="1" thickBot="1">
      <c r="A24" s="1871"/>
      <c r="B24" s="1877"/>
      <c r="C24" s="343">
        <v>2360</v>
      </c>
      <c r="D24" s="349"/>
      <c r="E24" s="340">
        <f>F24+G24</f>
        <v>1053</v>
      </c>
      <c r="F24" s="345"/>
      <c r="G24" s="346">
        <v>1053</v>
      </c>
    </row>
    <row r="25" spans="1:7" ht="30" customHeight="1" thickBot="1">
      <c r="A25" s="1880" t="s">
        <v>25</v>
      </c>
      <c r="B25" s="1881"/>
      <c r="C25" s="1882"/>
      <c r="D25" s="1883"/>
      <c r="E25" s="350">
        <f>SUM(E5,E13,E21,E9,E17)</f>
        <v>220000</v>
      </c>
      <c r="F25" s="351">
        <f>SUM(F21,F13,F5,F9,F17)</f>
        <v>209000</v>
      </c>
      <c r="G25" s="351">
        <f>SUM(G21,G13,G5,G9,G17)</f>
        <v>11000</v>
      </c>
    </row>
    <row r="26" spans="1:7">
      <c r="A26" s="352"/>
      <c r="B26" s="352"/>
      <c r="C26" s="353"/>
      <c r="D26" s="354"/>
      <c r="E26" s="355"/>
      <c r="F26" s="356"/>
      <c r="G26" s="354"/>
    </row>
    <row r="27" spans="1:7">
      <c r="A27" s="352"/>
      <c r="B27" s="352"/>
      <c r="C27" s="353"/>
      <c r="D27" s="354"/>
      <c r="E27" s="355"/>
      <c r="F27" s="356"/>
      <c r="G27" s="354"/>
    </row>
    <row r="28" spans="1:7">
      <c r="A28" s="357"/>
      <c r="B28" s="357"/>
      <c r="C28" s="311"/>
      <c r="F28" s="256"/>
    </row>
    <row r="29" spans="1:7">
      <c r="A29" s="357"/>
      <c r="B29" s="357"/>
      <c r="C29" s="311"/>
      <c r="F29" s="256"/>
    </row>
    <row r="30" spans="1:7">
      <c r="A30" s="357"/>
      <c r="B30" s="357"/>
      <c r="C30" s="311"/>
      <c r="F30" s="256"/>
    </row>
    <row r="31" spans="1:7">
      <c r="A31" s="1868"/>
      <c r="B31" s="1868"/>
      <c r="C31" s="1868"/>
      <c r="D31" s="1868"/>
      <c r="E31" s="1868"/>
      <c r="F31" s="1868"/>
    </row>
    <row r="32" spans="1:7">
      <c r="A32" s="357"/>
      <c r="B32" s="357"/>
      <c r="C32" s="311"/>
      <c r="F32" s="256"/>
    </row>
    <row r="33" spans="1:6">
      <c r="A33" s="357"/>
      <c r="B33" s="357"/>
      <c r="C33" s="311"/>
      <c r="F33" s="256"/>
    </row>
    <row r="34" spans="1:6">
      <c r="A34" s="357"/>
      <c r="B34" s="357"/>
      <c r="C34" s="311"/>
      <c r="F34" s="256"/>
    </row>
    <row r="35" spans="1:6">
      <c r="A35" s="357"/>
      <c r="B35" s="357"/>
      <c r="C35" s="311"/>
      <c r="F35" s="256"/>
    </row>
    <row r="36" spans="1:6">
      <c r="A36" s="357"/>
      <c r="B36" s="357"/>
      <c r="C36" s="311"/>
      <c r="F36" s="256"/>
    </row>
    <row r="37" spans="1:6">
      <c r="A37" s="357"/>
      <c r="B37" s="357"/>
      <c r="C37" s="311"/>
      <c r="F37" s="256"/>
    </row>
    <row r="38" spans="1:6">
      <c r="A38" s="357"/>
      <c r="B38" s="357"/>
      <c r="C38" s="311"/>
      <c r="F38" s="256"/>
    </row>
    <row r="39" spans="1:6">
      <c r="C39" s="311"/>
      <c r="F39" s="256"/>
    </row>
    <row r="40" spans="1:6">
      <c r="C40" s="311"/>
      <c r="F40" s="256"/>
    </row>
    <row r="41" spans="1:6">
      <c r="C41" s="311"/>
      <c r="F41" s="256"/>
    </row>
    <row r="42" spans="1:6">
      <c r="C42" s="311"/>
      <c r="F42" s="256"/>
    </row>
    <row r="43" spans="1:6">
      <c r="C43" s="311"/>
      <c r="F43" s="256"/>
    </row>
    <row r="44" spans="1:6">
      <c r="C44" s="311"/>
      <c r="F44" s="256"/>
    </row>
    <row r="45" spans="1:6">
      <c r="C45" s="311"/>
      <c r="F45" s="256"/>
    </row>
    <row r="46" spans="1:6">
      <c r="C46" s="311"/>
      <c r="F46" s="256"/>
    </row>
    <row r="47" spans="1:6">
      <c r="C47" s="311"/>
      <c r="F47" s="256"/>
    </row>
    <row r="48" spans="1:6">
      <c r="C48" s="311"/>
      <c r="F48" s="256"/>
    </row>
    <row r="49" spans="3:6">
      <c r="C49" s="311"/>
      <c r="F49" s="256"/>
    </row>
    <row r="50" spans="3:6">
      <c r="C50" s="311"/>
      <c r="F50" s="256"/>
    </row>
    <row r="51" spans="3:6">
      <c r="C51" s="311"/>
      <c r="F51" s="256"/>
    </row>
    <row r="52" spans="3:6">
      <c r="C52" s="311"/>
      <c r="F52" s="256"/>
    </row>
    <row r="53" spans="3:6">
      <c r="C53" s="311"/>
      <c r="F53" s="256"/>
    </row>
    <row r="54" spans="3:6">
      <c r="C54" s="311"/>
      <c r="F54" s="256"/>
    </row>
    <row r="182" spans="4:4">
      <c r="D182" s="314">
        <f>115000000+12000000</f>
        <v>127000000</v>
      </c>
    </row>
    <row r="290" spans="4:4">
      <c r="D290" s="314"/>
    </row>
  </sheetData>
  <mergeCells count="30">
    <mergeCell ref="E1:G1"/>
    <mergeCell ref="A2:G2"/>
    <mergeCell ref="A3:A4"/>
    <mergeCell ref="B3:B4"/>
    <mergeCell ref="C3:C4"/>
    <mergeCell ref="D3:D4"/>
    <mergeCell ref="E3:E4"/>
    <mergeCell ref="F3:G3"/>
    <mergeCell ref="A5:A8"/>
    <mergeCell ref="B5:D5"/>
    <mergeCell ref="B6:B8"/>
    <mergeCell ref="C6:D6"/>
    <mergeCell ref="A9:A12"/>
    <mergeCell ref="B9:D9"/>
    <mergeCell ref="B10:B12"/>
    <mergeCell ref="C10:D10"/>
    <mergeCell ref="A31:F31"/>
    <mergeCell ref="A13:A16"/>
    <mergeCell ref="B13:D13"/>
    <mergeCell ref="B14:B16"/>
    <mergeCell ref="C14:D14"/>
    <mergeCell ref="A17:A20"/>
    <mergeCell ref="B17:D17"/>
    <mergeCell ref="B18:B20"/>
    <mergeCell ref="C18:D18"/>
    <mergeCell ref="A21:A24"/>
    <mergeCell ref="B21:D21"/>
    <mergeCell ref="B22:B24"/>
    <mergeCell ref="C22:D22"/>
    <mergeCell ref="A25:D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E27"/>
  <sheetViews>
    <sheetView view="pageBreakPreview" zoomScaleNormal="100" zoomScaleSheetLayoutView="100" workbookViewId="0">
      <selection activeCell="G1" sqref="G1"/>
    </sheetView>
  </sheetViews>
  <sheetFormatPr defaultRowHeight="12.75"/>
  <cols>
    <col min="1" max="1" width="5.85546875" style="126" customWidth="1"/>
    <col min="2" max="2" width="49.7109375" style="126" customWidth="1"/>
    <col min="3" max="4" width="14.5703125" style="126" customWidth="1"/>
    <col min="5" max="5" width="9" style="126" customWidth="1"/>
    <col min="6" max="256" width="9.140625" style="126"/>
    <col min="257" max="257" width="5.85546875" style="126" customWidth="1"/>
    <col min="258" max="258" width="45.42578125" style="126" customWidth="1"/>
    <col min="259" max="260" width="14.5703125" style="126" customWidth="1"/>
    <col min="261" max="261" width="9" style="126" customWidth="1"/>
    <col min="262" max="512" width="9.140625" style="126"/>
    <col min="513" max="513" width="5.85546875" style="126" customWidth="1"/>
    <col min="514" max="514" width="45.42578125" style="126" customWidth="1"/>
    <col min="515" max="516" width="14.5703125" style="126" customWidth="1"/>
    <col min="517" max="517" width="9" style="126" customWidth="1"/>
    <col min="518" max="768" width="9.140625" style="126"/>
    <col min="769" max="769" width="5.85546875" style="126" customWidth="1"/>
    <col min="770" max="770" width="45.42578125" style="126" customWidth="1"/>
    <col min="771" max="772" width="14.5703125" style="126" customWidth="1"/>
    <col min="773" max="773" width="9" style="126" customWidth="1"/>
    <col min="774" max="1024" width="9.140625" style="126"/>
    <col min="1025" max="1025" width="5.85546875" style="126" customWidth="1"/>
    <col min="1026" max="1026" width="45.42578125" style="126" customWidth="1"/>
    <col min="1027" max="1028" width="14.5703125" style="126" customWidth="1"/>
    <col min="1029" max="1029" width="9" style="126" customWidth="1"/>
    <col min="1030" max="1280" width="9.140625" style="126"/>
    <col min="1281" max="1281" width="5.85546875" style="126" customWidth="1"/>
    <col min="1282" max="1282" width="45.42578125" style="126" customWidth="1"/>
    <col min="1283" max="1284" width="14.5703125" style="126" customWidth="1"/>
    <col min="1285" max="1285" width="9" style="126" customWidth="1"/>
    <col min="1286" max="1536" width="9.140625" style="126"/>
    <col min="1537" max="1537" width="5.85546875" style="126" customWidth="1"/>
    <col min="1538" max="1538" width="45.42578125" style="126" customWidth="1"/>
    <col min="1539" max="1540" width="14.5703125" style="126" customWidth="1"/>
    <col min="1541" max="1541" width="9" style="126" customWidth="1"/>
    <col min="1542" max="1792" width="9.140625" style="126"/>
    <col min="1793" max="1793" width="5.85546875" style="126" customWidth="1"/>
    <col min="1794" max="1794" width="45.42578125" style="126" customWidth="1"/>
    <col min="1795" max="1796" width="14.5703125" style="126" customWidth="1"/>
    <col min="1797" max="1797" width="9" style="126" customWidth="1"/>
    <col min="1798" max="2048" width="9.140625" style="126"/>
    <col min="2049" max="2049" width="5.85546875" style="126" customWidth="1"/>
    <col min="2050" max="2050" width="45.42578125" style="126" customWidth="1"/>
    <col min="2051" max="2052" width="14.5703125" style="126" customWidth="1"/>
    <col min="2053" max="2053" width="9" style="126" customWidth="1"/>
    <col min="2054" max="2304" width="9.140625" style="126"/>
    <col min="2305" max="2305" width="5.85546875" style="126" customWidth="1"/>
    <col min="2306" max="2306" width="45.42578125" style="126" customWidth="1"/>
    <col min="2307" max="2308" width="14.5703125" style="126" customWidth="1"/>
    <col min="2309" max="2309" width="9" style="126" customWidth="1"/>
    <col min="2310" max="2560" width="9.140625" style="126"/>
    <col min="2561" max="2561" width="5.85546875" style="126" customWidth="1"/>
    <col min="2562" max="2562" width="45.42578125" style="126" customWidth="1"/>
    <col min="2563" max="2564" width="14.5703125" style="126" customWidth="1"/>
    <col min="2565" max="2565" width="9" style="126" customWidth="1"/>
    <col min="2566" max="2816" width="9.140625" style="126"/>
    <col min="2817" max="2817" width="5.85546875" style="126" customWidth="1"/>
    <col min="2818" max="2818" width="45.42578125" style="126" customWidth="1"/>
    <col min="2819" max="2820" width="14.5703125" style="126" customWidth="1"/>
    <col min="2821" max="2821" width="9" style="126" customWidth="1"/>
    <col min="2822" max="3072" width="9.140625" style="126"/>
    <col min="3073" max="3073" width="5.85546875" style="126" customWidth="1"/>
    <col min="3074" max="3074" width="45.42578125" style="126" customWidth="1"/>
    <col min="3075" max="3076" width="14.5703125" style="126" customWidth="1"/>
    <col min="3077" max="3077" width="9" style="126" customWidth="1"/>
    <col min="3078" max="3328" width="9.140625" style="126"/>
    <col min="3329" max="3329" width="5.85546875" style="126" customWidth="1"/>
    <col min="3330" max="3330" width="45.42578125" style="126" customWidth="1"/>
    <col min="3331" max="3332" width="14.5703125" style="126" customWidth="1"/>
    <col min="3333" max="3333" width="9" style="126" customWidth="1"/>
    <col min="3334" max="3584" width="9.140625" style="126"/>
    <col min="3585" max="3585" width="5.85546875" style="126" customWidth="1"/>
    <col min="3586" max="3586" width="45.42578125" style="126" customWidth="1"/>
    <col min="3587" max="3588" width="14.5703125" style="126" customWidth="1"/>
    <col min="3589" max="3589" width="9" style="126" customWidth="1"/>
    <col min="3590" max="3840" width="9.140625" style="126"/>
    <col min="3841" max="3841" width="5.85546875" style="126" customWidth="1"/>
    <col min="3842" max="3842" width="45.42578125" style="126" customWidth="1"/>
    <col min="3843" max="3844" width="14.5703125" style="126" customWidth="1"/>
    <col min="3845" max="3845" width="9" style="126" customWidth="1"/>
    <col min="3846" max="4096" width="9.140625" style="126"/>
    <col min="4097" max="4097" width="5.85546875" style="126" customWidth="1"/>
    <col min="4098" max="4098" width="45.42578125" style="126" customWidth="1"/>
    <col min="4099" max="4100" width="14.5703125" style="126" customWidth="1"/>
    <col min="4101" max="4101" width="9" style="126" customWidth="1"/>
    <col min="4102" max="4352" width="9.140625" style="126"/>
    <col min="4353" max="4353" width="5.85546875" style="126" customWidth="1"/>
    <col min="4354" max="4354" width="45.42578125" style="126" customWidth="1"/>
    <col min="4355" max="4356" width="14.5703125" style="126" customWidth="1"/>
    <col min="4357" max="4357" width="9" style="126" customWidth="1"/>
    <col min="4358" max="4608" width="9.140625" style="126"/>
    <col min="4609" max="4609" width="5.85546875" style="126" customWidth="1"/>
    <col min="4610" max="4610" width="45.42578125" style="126" customWidth="1"/>
    <col min="4611" max="4612" width="14.5703125" style="126" customWidth="1"/>
    <col min="4613" max="4613" width="9" style="126" customWidth="1"/>
    <col min="4614" max="4864" width="9.140625" style="126"/>
    <col min="4865" max="4865" width="5.85546875" style="126" customWidth="1"/>
    <col min="4866" max="4866" width="45.42578125" style="126" customWidth="1"/>
    <col min="4867" max="4868" width="14.5703125" style="126" customWidth="1"/>
    <col min="4869" max="4869" width="9" style="126" customWidth="1"/>
    <col min="4870" max="5120" width="9.140625" style="126"/>
    <col min="5121" max="5121" width="5.85546875" style="126" customWidth="1"/>
    <col min="5122" max="5122" width="45.42578125" style="126" customWidth="1"/>
    <col min="5123" max="5124" width="14.5703125" style="126" customWidth="1"/>
    <col min="5125" max="5125" width="9" style="126" customWidth="1"/>
    <col min="5126" max="5376" width="9.140625" style="126"/>
    <col min="5377" max="5377" width="5.85546875" style="126" customWidth="1"/>
    <col min="5378" max="5378" width="45.42578125" style="126" customWidth="1"/>
    <col min="5379" max="5380" width="14.5703125" style="126" customWidth="1"/>
    <col min="5381" max="5381" width="9" style="126" customWidth="1"/>
    <col min="5382" max="5632" width="9.140625" style="126"/>
    <col min="5633" max="5633" width="5.85546875" style="126" customWidth="1"/>
    <col min="5634" max="5634" width="45.42578125" style="126" customWidth="1"/>
    <col min="5635" max="5636" width="14.5703125" style="126" customWidth="1"/>
    <col min="5637" max="5637" width="9" style="126" customWidth="1"/>
    <col min="5638" max="5888" width="9.140625" style="126"/>
    <col min="5889" max="5889" width="5.85546875" style="126" customWidth="1"/>
    <col min="5890" max="5890" width="45.42578125" style="126" customWidth="1"/>
    <col min="5891" max="5892" width="14.5703125" style="126" customWidth="1"/>
    <col min="5893" max="5893" width="9" style="126" customWidth="1"/>
    <col min="5894" max="6144" width="9.140625" style="126"/>
    <col min="6145" max="6145" width="5.85546875" style="126" customWidth="1"/>
    <col min="6146" max="6146" width="45.42578125" style="126" customWidth="1"/>
    <col min="6147" max="6148" width="14.5703125" style="126" customWidth="1"/>
    <col min="6149" max="6149" width="9" style="126" customWidth="1"/>
    <col min="6150" max="6400" width="9.140625" style="126"/>
    <col min="6401" max="6401" width="5.85546875" style="126" customWidth="1"/>
    <col min="6402" max="6402" width="45.42578125" style="126" customWidth="1"/>
    <col min="6403" max="6404" width="14.5703125" style="126" customWidth="1"/>
    <col min="6405" max="6405" width="9" style="126" customWidth="1"/>
    <col min="6406" max="6656" width="9.140625" style="126"/>
    <col min="6657" max="6657" width="5.85546875" style="126" customWidth="1"/>
    <col min="6658" max="6658" width="45.42578125" style="126" customWidth="1"/>
    <col min="6659" max="6660" width="14.5703125" style="126" customWidth="1"/>
    <col min="6661" max="6661" width="9" style="126" customWidth="1"/>
    <col min="6662" max="6912" width="9.140625" style="126"/>
    <col min="6913" max="6913" width="5.85546875" style="126" customWidth="1"/>
    <col min="6914" max="6914" width="45.42578125" style="126" customWidth="1"/>
    <col min="6915" max="6916" width="14.5703125" style="126" customWidth="1"/>
    <col min="6917" max="6917" width="9" style="126" customWidth="1"/>
    <col min="6918" max="7168" width="9.140625" style="126"/>
    <col min="7169" max="7169" width="5.85546875" style="126" customWidth="1"/>
    <col min="7170" max="7170" width="45.42578125" style="126" customWidth="1"/>
    <col min="7171" max="7172" width="14.5703125" style="126" customWidth="1"/>
    <col min="7173" max="7173" width="9" style="126" customWidth="1"/>
    <col min="7174" max="7424" width="9.140625" style="126"/>
    <col min="7425" max="7425" width="5.85546875" style="126" customWidth="1"/>
    <col min="7426" max="7426" width="45.42578125" style="126" customWidth="1"/>
    <col min="7427" max="7428" width="14.5703125" style="126" customWidth="1"/>
    <col min="7429" max="7429" width="9" style="126" customWidth="1"/>
    <col min="7430" max="7680" width="9.140625" style="126"/>
    <col min="7681" max="7681" width="5.85546875" style="126" customWidth="1"/>
    <col min="7682" max="7682" width="45.42578125" style="126" customWidth="1"/>
    <col min="7683" max="7684" width="14.5703125" style="126" customWidth="1"/>
    <col min="7685" max="7685" width="9" style="126" customWidth="1"/>
    <col min="7686" max="7936" width="9.140625" style="126"/>
    <col min="7937" max="7937" width="5.85546875" style="126" customWidth="1"/>
    <col min="7938" max="7938" width="45.42578125" style="126" customWidth="1"/>
    <col min="7939" max="7940" width="14.5703125" style="126" customWidth="1"/>
    <col min="7941" max="7941" width="9" style="126" customWidth="1"/>
    <col min="7942" max="8192" width="9.140625" style="126"/>
    <col min="8193" max="8193" width="5.85546875" style="126" customWidth="1"/>
    <col min="8194" max="8194" width="45.42578125" style="126" customWidth="1"/>
    <col min="8195" max="8196" width="14.5703125" style="126" customWidth="1"/>
    <col min="8197" max="8197" width="9" style="126" customWidth="1"/>
    <col min="8198" max="8448" width="9.140625" style="126"/>
    <col min="8449" max="8449" width="5.85546875" style="126" customWidth="1"/>
    <col min="8450" max="8450" width="45.42578125" style="126" customWidth="1"/>
    <col min="8451" max="8452" width="14.5703125" style="126" customWidth="1"/>
    <col min="8453" max="8453" width="9" style="126" customWidth="1"/>
    <col min="8454" max="8704" width="9.140625" style="126"/>
    <col min="8705" max="8705" width="5.85546875" style="126" customWidth="1"/>
    <col min="8706" max="8706" width="45.42578125" style="126" customWidth="1"/>
    <col min="8707" max="8708" width="14.5703125" style="126" customWidth="1"/>
    <col min="8709" max="8709" width="9" style="126" customWidth="1"/>
    <col min="8710" max="8960" width="9.140625" style="126"/>
    <col min="8961" max="8961" width="5.85546875" style="126" customWidth="1"/>
    <col min="8962" max="8962" width="45.42578125" style="126" customWidth="1"/>
    <col min="8963" max="8964" width="14.5703125" style="126" customWidth="1"/>
    <col min="8965" max="8965" width="9" style="126" customWidth="1"/>
    <col min="8966" max="9216" width="9.140625" style="126"/>
    <col min="9217" max="9217" width="5.85546875" style="126" customWidth="1"/>
    <col min="9218" max="9218" width="45.42578125" style="126" customWidth="1"/>
    <col min="9219" max="9220" width="14.5703125" style="126" customWidth="1"/>
    <col min="9221" max="9221" width="9" style="126" customWidth="1"/>
    <col min="9222" max="9472" width="9.140625" style="126"/>
    <col min="9473" max="9473" width="5.85546875" style="126" customWidth="1"/>
    <col min="9474" max="9474" width="45.42578125" style="126" customWidth="1"/>
    <col min="9475" max="9476" width="14.5703125" style="126" customWidth="1"/>
    <col min="9477" max="9477" width="9" style="126" customWidth="1"/>
    <col min="9478" max="9728" width="9.140625" style="126"/>
    <col min="9729" max="9729" width="5.85546875" style="126" customWidth="1"/>
    <col min="9730" max="9730" width="45.42578125" style="126" customWidth="1"/>
    <col min="9731" max="9732" width="14.5703125" style="126" customWidth="1"/>
    <col min="9733" max="9733" width="9" style="126" customWidth="1"/>
    <col min="9734" max="9984" width="9.140625" style="126"/>
    <col min="9985" max="9985" width="5.85546875" style="126" customWidth="1"/>
    <col min="9986" max="9986" width="45.42578125" style="126" customWidth="1"/>
    <col min="9987" max="9988" width="14.5703125" style="126" customWidth="1"/>
    <col min="9989" max="9989" width="9" style="126" customWidth="1"/>
    <col min="9990" max="10240" width="9.140625" style="126"/>
    <col min="10241" max="10241" width="5.85546875" style="126" customWidth="1"/>
    <col min="10242" max="10242" width="45.42578125" style="126" customWidth="1"/>
    <col min="10243" max="10244" width="14.5703125" style="126" customWidth="1"/>
    <col min="10245" max="10245" width="9" style="126" customWidth="1"/>
    <col min="10246" max="10496" width="9.140625" style="126"/>
    <col min="10497" max="10497" width="5.85546875" style="126" customWidth="1"/>
    <col min="10498" max="10498" width="45.42578125" style="126" customWidth="1"/>
    <col min="10499" max="10500" width="14.5703125" style="126" customWidth="1"/>
    <col min="10501" max="10501" width="9" style="126" customWidth="1"/>
    <col min="10502" max="10752" width="9.140625" style="126"/>
    <col min="10753" max="10753" width="5.85546875" style="126" customWidth="1"/>
    <col min="10754" max="10754" width="45.42578125" style="126" customWidth="1"/>
    <col min="10755" max="10756" width="14.5703125" style="126" customWidth="1"/>
    <col min="10757" max="10757" width="9" style="126" customWidth="1"/>
    <col min="10758" max="11008" width="9.140625" style="126"/>
    <col min="11009" max="11009" width="5.85546875" style="126" customWidth="1"/>
    <col min="11010" max="11010" width="45.42578125" style="126" customWidth="1"/>
    <col min="11011" max="11012" width="14.5703125" style="126" customWidth="1"/>
    <col min="11013" max="11013" width="9" style="126" customWidth="1"/>
    <col min="11014" max="11264" width="9.140625" style="126"/>
    <col min="11265" max="11265" width="5.85546875" style="126" customWidth="1"/>
    <col min="11266" max="11266" width="45.42578125" style="126" customWidth="1"/>
    <col min="11267" max="11268" width="14.5703125" style="126" customWidth="1"/>
    <col min="11269" max="11269" width="9" style="126" customWidth="1"/>
    <col min="11270" max="11520" width="9.140625" style="126"/>
    <col min="11521" max="11521" width="5.85546875" style="126" customWidth="1"/>
    <col min="11522" max="11522" width="45.42578125" style="126" customWidth="1"/>
    <col min="11523" max="11524" width="14.5703125" style="126" customWidth="1"/>
    <col min="11525" max="11525" width="9" style="126" customWidth="1"/>
    <col min="11526" max="11776" width="9.140625" style="126"/>
    <col min="11777" max="11777" width="5.85546875" style="126" customWidth="1"/>
    <col min="11778" max="11778" width="45.42578125" style="126" customWidth="1"/>
    <col min="11779" max="11780" width="14.5703125" style="126" customWidth="1"/>
    <col min="11781" max="11781" width="9" style="126" customWidth="1"/>
    <col min="11782" max="12032" width="9.140625" style="126"/>
    <col min="12033" max="12033" width="5.85546875" style="126" customWidth="1"/>
    <col min="12034" max="12034" width="45.42578125" style="126" customWidth="1"/>
    <col min="12035" max="12036" width="14.5703125" style="126" customWidth="1"/>
    <col min="12037" max="12037" width="9" style="126" customWidth="1"/>
    <col min="12038" max="12288" width="9.140625" style="126"/>
    <col min="12289" max="12289" width="5.85546875" style="126" customWidth="1"/>
    <col min="12290" max="12290" width="45.42578125" style="126" customWidth="1"/>
    <col min="12291" max="12292" width="14.5703125" style="126" customWidth="1"/>
    <col min="12293" max="12293" width="9" style="126" customWidth="1"/>
    <col min="12294" max="12544" width="9.140625" style="126"/>
    <col min="12545" max="12545" width="5.85546875" style="126" customWidth="1"/>
    <col min="12546" max="12546" width="45.42578125" style="126" customWidth="1"/>
    <col min="12547" max="12548" width="14.5703125" style="126" customWidth="1"/>
    <col min="12549" max="12549" width="9" style="126" customWidth="1"/>
    <col min="12550" max="12800" width="9.140625" style="126"/>
    <col min="12801" max="12801" width="5.85546875" style="126" customWidth="1"/>
    <col min="12802" max="12802" width="45.42578125" style="126" customWidth="1"/>
    <col min="12803" max="12804" width="14.5703125" style="126" customWidth="1"/>
    <col min="12805" max="12805" width="9" style="126" customWidth="1"/>
    <col min="12806" max="13056" width="9.140625" style="126"/>
    <col min="13057" max="13057" width="5.85546875" style="126" customWidth="1"/>
    <col min="13058" max="13058" width="45.42578125" style="126" customWidth="1"/>
    <col min="13059" max="13060" width="14.5703125" style="126" customWidth="1"/>
    <col min="13061" max="13061" width="9" style="126" customWidth="1"/>
    <col min="13062" max="13312" width="9.140625" style="126"/>
    <col min="13313" max="13313" width="5.85546875" style="126" customWidth="1"/>
    <col min="13314" max="13314" width="45.42578125" style="126" customWidth="1"/>
    <col min="13315" max="13316" width="14.5703125" style="126" customWidth="1"/>
    <col min="13317" max="13317" width="9" style="126" customWidth="1"/>
    <col min="13318" max="13568" width="9.140625" style="126"/>
    <col min="13569" max="13569" width="5.85546875" style="126" customWidth="1"/>
    <col min="13570" max="13570" width="45.42578125" style="126" customWidth="1"/>
    <col min="13571" max="13572" width="14.5703125" style="126" customWidth="1"/>
    <col min="13573" max="13573" width="9" style="126" customWidth="1"/>
    <col min="13574" max="13824" width="9.140625" style="126"/>
    <col min="13825" max="13825" width="5.85546875" style="126" customWidth="1"/>
    <col min="13826" max="13826" width="45.42578125" style="126" customWidth="1"/>
    <col min="13827" max="13828" width="14.5703125" style="126" customWidth="1"/>
    <col min="13829" max="13829" width="9" style="126" customWidth="1"/>
    <col min="13830" max="14080" width="9.140625" style="126"/>
    <col min="14081" max="14081" width="5.85546875" style="126" customWidth="1"/>
    <col min="14082" max="14082" width="45.42578125" style="126" customWidth="1"/>
    <col min="14083" max="14084" width="14.5703125" style="126" customWidth="1"/>
    <col min="14085" max="14085" width="9" style="126" customWidth="1"/>
    <col min="14086" max="14336" width="9.140625" style="126"/>
    <col min="14337" max="14337" width="5.85546875" style="126" customWidth="1"/>
    <col min="14338" max="14338" width="45.42578125" style="126" customWidth="1"/>
    <col min="14339" max="14340" width="14.5703125" style="126" customWidth="1"/>
    <col min="14341" max="14341" width="9" style="126" customWidth="1"/>
    <col min="14342" max="14592" width="9.140625" style="126"/>
    <col min="14593" max="14593" width="5.85546875" style="126" customWidth="1"/>
    <col min="14594" max="14594" width="45.42578125" style="126" customWidth="1"/>
    <col min="14595" max="14596" width="14.5703125" style="126" customWidth="1"/>
    <col min="14597" max="14597" width="9" style="126" customWidth="1"/>
    <col min="14598" max="14848" width="9.140625" style="126"/>
    <col min="14849" max="14849" width="5.85546875" style="126" customWidth="1"/>
    <col min="14850" max="14850" width="45.42578125" style="126" customWidth="1"/>
    <col min="14851" max="14852" width="14.5703125" style="126" customWidth="1"/>
    <col min="14853" max="14853" width="9" style="126" customWidth="1"/>
    <col min="14854" max="15104" width="9.140625" style="126"/>
    <col min="15105" max="15105" width="5.85546875" style="126" customWidth="1"/>
    <col min="15106" max="15106" width="45.42578125" style="126" customWidth="1"/>
    <col min="15107" max="15108" width="14.5703125" style="126" customWidth="1"/>
    <col min="15109" max="15109" width="9" style="126" customWidth="1"/>
    <col min="15110" max="15360" width="9.140625" style="126"/>
    <col min="15361" max="15361" width="5.85546875" style="126" customWidth="1"/>
    <col min="15362" max="15362" width="45.42578125" style="126" customWidth="1"/>
    <col min="15363" max="15364" width="14.5703125" style="126" customWidth="1"/>
    <col min="15365" max="15365" width="9" style="126" customWidth="1"/>
    <col min="15366" max="15616" width="9.140625" style="126"/>
    <col min="15617" max="15617" width="5.85546875" style="126" customWidth="1"/>
    <col min="15618" max="15618" width="45.42578125" style="126" customWidth="1"/>
    <col min="15619" max="15620" width="14.5703125" style="126" customWidth="1"/>
    <col min="15621" max="15621" width="9" style="126" customWidth="1"/>
    <col min="15622" max="15872" width="9.140625" style="126"/>
    <col min="15873" max="15873" width="5.85546875" style="126" customWidth="1"/>
    <col min="15874" max="15874" width="45.42578125" style="126" customWidth="1"/>
    <col min="15875" max="15876" width="14.5703125" style="126" customWidth="1"/>
    <col min="15877" max="15877" width="9" style="126" customWidth="1"/>
    <col min="15878" max="16128" width="9.140625" style="126"/>
    <col min="16129" max="16129" width="5.85546875" style="126" customWidth="1"/>
    <col min="16130" max="16130" width="45.42578125" style="126" customWidth="1"/>
    <col min="16131" max="16132" width="14.5703125" style="126" customWidth="1"/>
    <col min="16133" max="16133" width="9" style="126" customWidth="1"/>
    <col min="16134" max="16384" width="9.140625" style="126"/>
  </cols>
  <sheetData>
    <row r="1" spans="1:5" ht="76.5" customHeight="1">
      <c r="A1" s="149"/>
      <c r="B1" s="1898" t="s">
        <v>1099</v>
      </c>
      <c r="C1" s="1898"/>
      <c r="D1" s="1898"/>
    </row>
    <row r="2" spans="1:5" ht="63" customHeight="1" thickBot="1">
      <c r="A2" s="1899" t="s">
        <v>105</v>
      </c>
      <c r="B2" s="1899"/>
      <c r="C2" s="1899"/>
      <c r="D2" s="1899"/>
    </row>
    <row r="3" spans="1:5" ht="22.5" customHeight="1" thickBot="1">
      <c r="A3" s="147" t="s">
        <v>18</v>
      </c>
      <c r="B3" s="148" t="s">
        <v>104</v>
      </c>
      <c r="C3" s="147" t="s">
        <v>103</v>
      </c>
      <c r="D3" s="146" t="s">
        <v>102</v>
      </c>
    </row>
    <row r="4" spans="1:5" ht="15" customHeight="1" thickBot="1">
      <c r="A4" s="1894" t="s">
        <v>101</v>
      </c>
      <c r="B4" s="1895"/>
      <c r="C4" s="145">
        <f>SUM(C5:C6)</f>
        <v>3050</v>
      </c>
      <c r="D4" s="144">
        <f>SUM(D5:D6)</f>
        <v>3050</v>
      </c>
    </row>
    <row r="5" spans="1:5" ht="26.25" customHeight="1">
      <c r="A5" s="169">
        <v>1</v>
      </c>
      <c r="B5" s="143" t="s">
        <v>118</v>
      </c>
      <c r="C5" s="156">
        <v>50</v>
      </c>
      <c r="D5" s="157">
        <v>50</v>
      </c>
      <c r="E5" s="132"/>
    </row>
    <row r="6" spans="1:5" ht="15" customHeight="1" thickBot="1">
      <c r="A6" s="170">
        <v>2</v>
      </c>
      <c r="B6" s="141" t="s">
        <v>100</v>
      </c>
      <c r="C6" s="158">
        <v>3000</v>
      </c>
      <c r="D6" s="159">
        <v>3000</v>
      </c>
      <c r="E6" s="132"/>
    </row>
    <row r="7" spans="1:5" ht="15" customHeight="1" thickBot="1">
      <c r="A7" s="1894" t="s">
        <v>99</v>
      </c>
      <c r="B7" s="1895"/>
      <c r="C7" s="160">
        <f>SUM(C8:C14)</f>
        <v>302292</v>
      </c>
      <c r="D7" s="161">
        <f>SUM(D8:D14)</f>
        <v>302292</v>
      </c>
      <c r="E7" s="132"/>
    </row>
    <row r="8" spans="1:5" ht="27" customHeight="1">
      <c r="A8" s="171">
        <v>1</v>
      </c>
      <c r="B8" s="153" t="s">
        <v>109</v>
      </c>
      <c r="C8" s="162">
        <v>51000</v>
      </c>
      <c r="D8" s="163">
        <v>51000</v>
      </c>
      <c r="E8" s="132"/>
    </row>
    <row r="9" spans="1:5" ht="27" customHeight="1">
      <c r="A9" s="172">
        <v>2</v>
      </c>
      <c r="B9" s="154" t="s">
        <v>110</v>
      </c>
      <c r="C9" s="164">
        <v>27060</v>
      </c>
      <c r="D9" s="165">
        <v>27060</v>
      </c>
      <c r="E9" s="132"/>
    </row>
    <row r="10" spans="1:5" ht="27" customHeight="1">
      <c r="A10" s="172">
        <v>3</v>
      </c>
      <c r="B10" s="154" t="s">
        <v>111</v>
      </c>
      <c r="C10" s="164">
        <v>6000</v>
      </c>
      <c r="D10" s="165">
        <v>6000</v>
      </c>
      <c r="E10" s="132"/>
    </row>
    <row r="11" spans="1:5" ht="27" customHeight="1">
      <c r="A11" s="172">
        <v>4</v>
      </c>
      <c r="B11" s="154" t="s">
        <v>112</v>
      </c>
      <c r="C11" s="164">
        <v>10000</v>
      </c>
      <c r="D11" s="165">
        <v>10000</v>
      </c>
      <c r="E11" s="132"/>
    </row>
    <row r="12" spans="1:5" ht="27" customHeight="1">
      <c r="A12" s="172">
        <v>5</v>
      </c>
      <c r="B12" s="154" t="s">
        <v>113</v>
      </c>
      <c r="C12" s="164">
        <v>44700</v>
      </c>
      <c r="D12" s="165">
        <v>44700</v>
      </c>
      <c r="E12" s="132"/>
    </row>
    <row r="13" spans="1:5" ht="27" customHeight="1">
      <c r="A13" s="172">
        <v>6</v>
      </c>
      <c r="B13" s="154" t="s">
        <v>108</v>
      </c>
      <c r="C13" s="164">
        <v>4100</v>
      </c>
      <c r="D13" s="165">
        <v>4100</v>
      </c>
      <c r="E13" s="132"/>
    </row>
    <row r="14" spans="1:5" s="137" customFormat="1" ht="27.75" customHeight="1" thickBot="1">
      <c r="A14" s="170">
        <v>7</v>
      </c>
      <c r="B14" s="155" t="s">
        <v>107</v>
      </c>
      <c r="C14" s="158">
        <v>159432</v>
      </c>
      <c r="D14" s="159">
        <v>159432</v>
      </c>
      <c r="E14" s="142"/>
    </row>
    <row r="15" spans="1:5" ht="15" customHeight="1" thickBot="1">
      <c r="A15" s="1894" t="s">
        <v>98</v>
      </c>
      <c r="B15" s="1895"/>
      <c r="C15" s="160">
        <f>SUM(C16)</f>
        <v>2300000</v>
      </c>
      <c r="D15" s="161">
        <f>SUM(D16)</f>
        <v>2300000</v>
      </c>
      <c r="E15" s="132"/>
    </row>
    <row r="16" spans="1:5" ht="15" customHeight="1" thickBot="1">
      <c r="A16" s="140">
        <v>1</v>
      </c>
      <c r="B16" s="139" t="s">
        <v>97</v>
      </c>
      <c r="C16" s="156">
        <v>2300000</v>
      </c>
      <c r="D16" s="157">
        <v>2300000</v>
      </c>
      <c r="E16" s="142"/>
    </row>
    <row r="17" spans="1:5" ht="15" customHeight="1" thickBot="1">
      <c r="A17" s="1894" t="s">
        <v>96</v>
      </c>
      <c r="B17" s="1895"/>
      <c r="C17" s="160">
        <f>SUM(C18:C21)</f>
        <v>337200</v>
      </c>
      <c r="D17" s="161">
        <f>SUM(D18:D21)</f>
        <v>337200</v>
      </c>
      <c r="E17" s="132"/>
    </row>
    <row r="18" spans="1:5" ht="15" customHeight="1">
      <c r="A18" s="171">
        <v>1</v>
      </c>
      <c r="B18" s="134" t="s">
        <v>95</v>
      </c>
      <c r="C18" s="162">
        <v>71000</v>
      </c>
      <c r="D18" s="163">
        <v>71000</v>
      </c>
      <c r="E18" s="132"/>
    </row>
    <row r="19" spans="1:5" s="137" customFormat="1" ht="15" customHeight="1">
      <c r="A19" s="172">
        <v>2</v>
      </c>
      <c r="B19" s="136" t="s">
        <v>94</v>
      </c>
      <c r="C19" s="164">
        <v>31800</v>
      </c>
      <c r="D19" s="165">
        <v>31800</v>
      </c>
      <c r="E19" s="138"/>
    </row>
    <row r="20" spans="1:5" ht="15" customHeight="1">
      <c r="A20" s="172">
        <v>3</v>
      </c>
      <c r="B20" s="136" t="s">
        <v>93</v>
      </c>
      <c r="C20" s="164">
        <v>190000</v>
      </c>
      <c r="D20" s="165">
        <v>190000</v>
      </c>
      <c r="E20" s="132"/>
    </row>
    <row r="21" spans="1:5" ht="15" customHeight="1" thickBot="1">
      <c r="A21" s="170">
        <v>4</v>
      </c>
      <c r="B21" s="135" t="s">
        <v>92</v>
      </c>
      <c r="C21" s="158">
        <v>44400</v>
      </c>
      <c r="D21" s="159">
        <v>44400</v>
      </c>
      <c r="E21" s="132"/>
    </row>
    <row r="22" spans="1:5" ht="15" customHeight="1" thickBot="1">
      <c r="A22" s="1894" t="s">
        <v>91</v>
      </c>
      <c r="B22" s="1895"/>
      <c r="C22" s="160">
        <f>SUM(C23:C23)</f>
        <v>189200</v>
      </c>
      <c r="D22" s="161">
        <f>SUM(D23:D23)</f>
        <v>189200</v>
      </c>
      <c r="E22" s="132"/>
    </row>
    <row r="23" spans="1:5" ht="29.25" customHeight="1" thickBot="1">
      <c r="A23" s="173">
        <v>1</v>
      </c>
      <c r="B23" s="152" t="s">
        <v>117</v>
      </c>
      <c r="C23" s="156">
        <v>189200</v>
      </c>
      <c r="D23" s="157">
        <v>189200</v>
      </c>
      <c r="E23" s="132"/>
    </row>
    <row r="24" spans="1:5" ht="24" customHeight="1" thickBot="1">
      <c r="A24" s="1896" t="s">
        <v>90</v>
      </c>
      <c r="B24" s="1897"/>
      <c r="C24" s="133">
        <f>SUM(C4,C7,C15,C17,C22)</f>
        <v>3131742</v>
      </c>
      <c r="D24" s="133">
        <f>SUM(D4,D7,D15,D17,D22)</f>
        <v>3131742</v>
      </c>
      <c r="E24" s="132"/>
    </row>
    <row r="25" spans="1:5" ht="12.75" customHeight="1">
      <c r="A25" s="131"/>
      <c r="B25" s="131"/>
      <c r="C25" s="130"/>
      <c r="D25" s="130"/>
    </row>
    <row r="27" spans="1:5">
      <c r="A27" s="129"/>
      <c r="B27" s="128"/>
      <c r="C27" s="127"/>
      <c r="D27" s="127"/>
    </row>
  </sheetData>
  <mergeCells count="8">
    <mergeCell ref="A17:B17"/>
    <mergeCell ref="A22:B22"/>
    <mergeCell ref="A24:B24"/>
    <mergeCell ref="B1:D1"/>
    <mergeCell ref="A2:D2"/>
    <mergeCell ref="A4:B4"/>
    <mergeCell ref="A7:B7"/>
    <mergeCell ref="A15:B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Zakresy nazwane</vt:lpstr>
      </vt:variant>
      <vt:variant>
        <vt:i4>25</vt:i4>
      </vt:variant>
    </vt:vector>
  </HeadingPairs>
  <TitlesOfParts>
    <vt:vector size="46" baseType="lpstr">
      <vt:lpstr>Tabela Nr 1</vt:lpstr>
      <vt:lpstr>Tabela Nr 2</vt:lpstr>
      <vt:lpstr>Tabela Nr 3</vt:lpstr>
      <vt:lpstr>Tabela Nr 4</vt:lpstr>
      <vt:lpstr>Załącznik Nr 1</vt:lpstr>
      <vt:lpstr>Załącznik Nr 2</vt:lpstr>
      <vt:lpstr>Załącznik Nr 3</vt:lpstr>
      <vt:lpstr>Załącznik Nr 4</vt:lpstr>
      <vt:lpstr>Załącznik Nr 5</vt:lpstr>
      <vt:lpstr>Załącznik Nr 6</vt:lpstr>
      <vt:lpstr>Załącznik Nr 7</vt:lpstr>
      <vt:lpstr>Zał Nr 8</vt:lpstr>
      <vt:lpstr> Zał Nr 9 </vt:lpstr>
      <vt:lpstr>Zał Nr 10 </vt:lpstr>
      <vt:lpstr>Zał Nr 11</vt:lpstr>
      <vt:lpstr>Zał Nr 12</vt:lpstr>
      <vt:lpstr>Zał Nr 13 adm.rząd.doch.</vt:lpstr>
      <vt:lpstr>Zał Nr 13 adm.rzad.wyd.</vt:lpstr>
      <vt:lpstr>adm.rząd. dofin.</vt:lpstr>
      <vt:lpstr>Załącznik Nr 14</vt:lpstr>
      <vt:lpstr>Załącznik Nr 15</vt:lpstr>
      <vt:lpstr>' Zał Nr 9 '!Obszar_wydruku</vt:lpstr>
      <vt:lpstr>'Tabela Nr 1'!Obszar_wydruku</vt:lpstr>
      <vt:lpstr>'Tabela Nr 2'!Obszar_wydruku</vt:lpstr>
      <vt:lpstr>'Tabela Nr 3'!Obszar_wydruku</vt:lpstr>
      <vt:lpstr>'Tabela Nr 4'!Obszar_wydruku</vt:lpstr>
      <vt:lpstr>'Zał Nr 10 '!Obszar_wydruku</vt:lpstr>
      <vt:lpstr>'Zał Nr 11'!Obszar_wydruku</vt:lpstr>
      <vt:lpstr>'Zał Nr 12'!Obszar_wydruku</vt:lpstr>
      <vt:lpstr>'Zał Nr 13 adm.rzad.wyd.'!Obszar_wydruku</vt:lpstr>
      <vt:lpstr>'Zał Nr 13 adm.rząd.doch.'!Obszar_wydruku</vt:lpstr>
      <vt:lpstr>'Zał Nr 8'!Obszar_wydruku</vt:lpstr>
      <vt:lpstr>'Załącznik Nr 1'!Obszar_wydruku</vt:lpstr>
      <vt:lpstr>'Załącznik Nr 14'!Obszar_wydruku</vt:lpstr>
      <vt:lpstr>'Załącznik Nr 15'!Obszar_wydruku</vt:lpstr>
      <vt:lpstr>'Załącznik Nr 2'!Obszar_wydruku</vt:lpstr>
      <vt:lpstr>'Załącznik Nr 3'!Obszar_wydruku</vt:lpstr>
      <vt:lpstr>'Załącznik Nr 4'!Obszar_wydruku</vt:lpstr>
      <vt:lpstr>'Załącznik Nr 5'!Obszar_wydruku</vt:lpstr>
      <vt:lpstr>'Załącznik Nr 6'!Obszar_wydruku</vt:lpstr>
      <vt:lpstr>'Załącznik Nr 7'!Obszar_wydruku</vt:lpstr>
      <vt:lpstr>'Tabela Nr 2'!Tytuły_wydruku</vt:lpstr>
      <vt:lpstr>'Tabela Nr 3'!Tytuły_wydruku</vt:lpstr>
      <vt:lpstr>'Tabela Nr 4'!Tytuły_wydruku</vt:lpstr>
      <vt:lpstr>'Zał Nr 13 adm.rzad.wyd.'!Tytuły_wydruku</vt:lpstr>
      <vt:lpstr>'Załącznik Nr 5'!Tytuły_wydruku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2015-12-31T07:01:21Z</dcterms:modified>
</cp:coreProperties>
</file>